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8_Teams\05_EMOB\Publikationen_Berichte\Zahlen_Daten_Fakten\Extra Auswertungen\202412_Newsbeitrag Privat Betrieblich\"/>
    </mc:Choice>
  </mc:AlternateContent>
  <xr:revisionPtr revIDLastSave="0" documentId="13_ncr:1_{221788FF-E673-4765-BEA1-CEB9721F33DC}" xr6:coauthVersionLast="47" xr6:coauthVersionMax="47" xr10:uidLastSave="{00000000-0000-0000-0000-000000000000}"/>
  <bookViews>
    <workbookView xWindow="-108" yWindow="-108" windowWidth="23256" windowHeight="12456" firstSheet="1" activeTab="4" xr2:uid="{3D660A3C-E50A-460D-ACEA-B56A1A7980B9}"/>
  </bookViews>
  <sheets>
    <sheet name="Vollelektrisch voraus_M1" sheetId="5" r:id="rId1"/>
    <sheet name="Vollelektrisch voraus_N1" sheetId="8" r:id="rId2"/>
    <sheet name="Gebraucht ist das neue Neu" sheetId="9" r:id="rId3"/>
    <sheet name="Bezirke im Blick" sheetId="7" r:id="rId4"/>
    <sheet name="Entwicklungen der PHEV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2" i="7" l="1"/>
  <c r="G15" i="6" l="1"/>
  <c r="I15" i="6" s="1"/>
  <c r="M29" i="7"/>
  <c r="P29" i="7"/>
  <c r="M30" i="7"/>
  <c r="P30" i="7"/>
  <c r="M31" i="7"/>
  <c r="P31" i="7"/>
  <c r="M32" i="7"/>
  <c r="P32" i="7"/>
  <c r="M33" i="7"/>
  <c r="P33" i="7"/>
  <c r="M34" i="7"/>
  <c r="P34" i="7"/>
  <c r="E35" i="7"/>
  <c r="M35" i="7" s="1"/>
  <c r="H35" i="7"/>
  <c r="P35" i="7" s="1"/>
  <c r="M36" i="7"/>
  <c r="P36" i="7"/>
  <c r="M37" i="7"/>
  <c r="P37" i="7"/>
  <c r="M38" i="7"/>
  <c r="P38" i="7"/>
  <c r="M39" i="7"/>
  <c r="P39" i="7"/>
  <c r="M40" i="7"/>
  <c r="P40" i="7"/>
  <c r="M41" i="7"/>
  <c r="P41" i="7"/>
  <c r="M42" i="7"/>
  <c r="P42" i="7"/>
  <c r="M43" i="7"/>
  <c r="P43" i="7"/>
  <c r="M44" i="7"/>
  <c r="P44" i="7"/>
  <c r="M45" i="7"/>
  <c r="P45" i="7"/>
  <c r="M46" i="7"/>
  <c r="P46" i="7"/>
  <c r="M47" i="7"/>
  <c r="P47" i="7"/>
  <c r="M48" i="7"/>
  <c r="P48" i="7"/>
  <c r="M49" i="7"/>
  <c r="P49" i="7"/>
  <c r="M50" i="7"/>
  <c r="P50" i="7"/>
  <c r="M51" i="7"/>
  <c r="P51" i="7"/>
  <c r="M52" i="7"/>
  <c r="P52" i="7"/>
  <c r="M53" i="7"/>
  <c r="P53" i="7"/>
  <c r="M54" i="7"/>
  <c r="P54" i="7"/>
  <c r="M55" i="7"/>
  <c r="P55" i="7"/>
  <c r="M56" i="7"/>
  <c r="P56" i="7"/>
  <c r="M57" i="7"/>
  <c r="P57" i="7"/>
  <c r="M58" i="7"/>
  <c r="P58" i="7"/>
  <c r="M59" i="7"/>
  <c r="P59" i="7"/>
  <c r="M60" i="7"/>
  <c r="P60" i="7"/>
  <c r="M61" i="7"/>
  <c r="P61" i="7"/>
  <c r="M62" i="7"/>
  <c r="P62" i="7"/>
  <c r="M63" i="7"/>
  <c r="P63" i="7"/>
  <c r="M64" i="7"/>
  <c r="P64" i="7"/>
  <c r="M65" i="7"/>
  <c r="P65" i="7"/>
  <c r="M66" i="7"/>
  <c r="P66" i="7"/>
  <c r="M67" i="7"/>
  <c r="P67" i="7"/>
  <c r="M68" i="7"/>
  <c r="P68" i="7"/>
  <c r="M69" i="7"/>
  <c r="P69" i="7"/>
  <c r="M70" i="7"/>
  <c r="P70" i="7"/>
  <c r="E71" i="7"/>
  <c r="M71" i="7" s="1"/>
  <c r="H71" i="7"/>
  <c r="P71" i="7" s="1"/>
  <c r="M72" i="7"/>
  <c r="P72" i="7"/>
  <c r="E73" i="7"/>
  <c r="M73" i="7" s="1"/>
  <c r="H73" i="7"/>
  <c r="P73" i="7" s="1"/>
  <c r="M74" i="7"/>
  <c r="P74" i="7"/>
  <c r="M75" i="7"/>
  <c r="P75" i="7"/>
  <c r="M76" i="7"/>
  <c r="P76" i="7"/>
  <c r="M77" i="7"/>
  <c r="P77" i="7"/>
  <c r="M78" i="7"/>
  <c r="P78" i="7"/>
  <c r="M79" i="7"/>
  <c r="P79" i="7"/>
  <c r="M80" i="7"/>
  <c r="P80" i="7"/>
  <c r="M81" i="7"/>
  <c r="P81" i="7"/>
  <c r="M82" i="7"/>
  <c r="P82" i="7"/>
  <c r="M83" i="7"/>
  <c r="P83" i="7"/>
  <c r="M84" i="7"/>
  <c r="P84" i="7"/>
  <c r="M85" i="7"/>
  <c r="P85" i="7"/>
  <c r="M86" i="7"/>
  <c r="P86" i="7"/>
  <c r="M87" i="7"/>
  <c r="P87" i="7"/>
  <c r="M88" i="7"/>
  <c r="P88" i="7"/>
  <c r="M89" i="7"/>
  <c r="P89" i="7"/>
  <c r="M90" i="7"/>
  <c r="P90" i="7"/>
  <c r="M91" i="7"/>
  <c r="P91" i="7"/>
  <c r="M92" i="7"/>
  <c r="P92" i="7"/>
  <c r="M93" i="7"/>
  <c r="P93" i="7"/>
  <c r="M94" i="7"/>
  <c r="P94" i="7"/>
  <c r="M95" i="7"/>
  <c r="P95" i="7"/>
  <c r="M96" i="7"/>
  <c r="P96" i="7"/>
  <c r="M97" i="7"/>
  <c r="P97" i="7"/>
  <c r="M98" i="7"/>
  <c r="P98" i="7"/>
  <c r="M99" i="7"/>
  <c r="P99" i="7"/>
  <c r="M100" i="7"/>
  <c r="P100" i="7"/>
  <c r="M101" i="7"/>
  <c r="P101" i="7"/>
  <c r="M102" i="7"/>
  <c r="P102" i="7"/>
  <c r="M103" i="7"/>
  <c r="P103" i="7"/>
  <c r="M104" i="7"/>
  <c r="P104" i="7"/>
  <c r="M105" i="7"/>
  <c r="P105" i="7"/>
  <c r="E106" i="7"/>
  <c r="M106" i="7" s="1"/>
  <c r="H106" i="7"/>
  <c r="P106" i="7" s="1"/>
  <c r="M107" i="7"/>
  <c r="P107" i="7"/>
  <c r="M108" i="7"/>
  <c r="P108" i="7"/>
  <c r="M109" i="7"/>
  <c r="P109" i="7"/>
  <c r="M110" i="7"/>
  <c r="P110" i="7"/>
  <c r="M111" i="7"/>
  <c r="P111" i="7"/>
  <c r="M112" i="7"/>
  <c r="P112" i="7"/>
  <c r="M113" i="7"/>
  <c r="P113" i="7"/>
  <c r="M114" i="7"/>
  <c r="P114" i="7"/>
  <c r="M115" i="7"/>
  <c r="P115" i="7"/>
  <c r="M116" i="7"/>
  <c r="P116" i="7"/>
  <c r="M117" i="7"/>
  <c r="P117" i="7"/>
  <c r="M118" i="7"/>
  <c r="P118" i="7"/>
  <c r="M119" i="7"/>
  <c r="P119" i="7"/>
  <c r="M120" i="7"/>
  <c r="P120" i="7"/>
  <c r="M121" i="7"/>
  <c r="P121" i="7"/>
  <c r="M28" i="7"/>
  <c r="P28" i="7"/>
  <c r="B32" i="7" l="1"/>
  <c r="C32" i="7" s="1"/>
  <c r="B95" i="7"/>
  <c r="C95" i="7" s="1"/>
  <c r="B60" i="7"/>
  <c r="C60" i="7" s="1"/>
  <c r="B58" i="7"/>
  <c r="C58" i="7" s="1"/>
  <c r="B119" i="7"/>
  <c r="C119" i="7" s="1"/>
  <c r="B118" i="7"/>
  <c r="C118" i="7" s="1"/>
  <c r="B105" i="7"/>
  <c r="C105" i="7" s="1"/>
  <c r="B93" i="7"/>
  <c r="C93" i="7" s="1"/>
  <c r="B39" i="7"/>
  <c r="C39" i="7" s="1"/>
  <c r="B109" i="7"/>
  <c r="C109" i="7" s="1"/>
  <c r="B91" i="7"/>
  <c r="C91" i="7" s="1"/>
  <c r="B38" i="7"/>
  <c r="C38" i="7" s="1"/>
  <c r="B83" i="7"/>
  <c r="C83" i="7" s="1"/>
  <c r="B49" i="7"/>
  <c r="C49" i="7" s="1"/>
  <c r="B48" i="7"/>
  <c r="C48" i="7" s="1"/>
  <c r="B42" i="7"/>
  <c r="C42" i="7" s="1"/>
  <c r="B36" i="7"/>
  <c r="C36" i="7" s="1"/>
  <c r="B88" i="7"/>
  <c r="C88" i="7" s="1"/>
  <c r="B71" i="7"/>
  <c r="C71" i="7" s="1"/>
  <c r="B29" i="7"/>
  <c r="C29" i="7" s="1"/>
  <c r="B98" i="7"/>
  <c r="C98" i="7" s="1"/>
  <c r="B92" i="7"/>
  <c r="C92" i="7" s="1"/>
  <c r="B86" i="7"/>
  <c r="C86" i="7" s="1"/>
  <c r="B80" i="7"/>
  <c r="C80" i="7" s="1"/>
  <c r="B120" i="7"/>
  <c r="C120" i="7" s="1"/>
  <c r="B103" i="7"/>
  <c r="C103" i="7" s="1"/>
  <c r="B108" i="7"/>
  <c r="C108" i="7" s="1"/>
  <c r="B96" i="7"/>
  <c r="C96" i="7" s="1"/>
  <c r="B79" i="7"/>
  <c r="C79" i="7" s="1"/>
  <c r="B107" i="7"/>
  <c r="C107" i="7" s="1"/>
  <c r="B78" i="7"/>
  <c r="C78" i="7" s="1"/>
  <c r="B67" i="7"/>
  <c r="C67" i="7" s="1"/>
  <c r="B37" i="7"/>
  <c r="C37" i="7" s="1"/>
  <c r="B94" i="7"/>
  <c r="C94" i="7" s="1"/>
  <c r="B31" i="7"/>
  <c r="C31" i="7" s="1"/>
  <c r="B110" i="7"/>
  <c r="C110" i="7" s="1"/>
  <c r="B59" i="7"/>
  <c r="C59" i="7" s="1"/>
  <c r="B104" i="7"/>
  <c r="C104" i="7" s="1"/>
  <c r="B81" i="7"/>
  <c r="C81" i="7" s="1"/>
  <c r="B40" i="7"/>
  <c r="C40" i="7" s="1"/>
  <c r="B51" i="7"/>
  <c r="C51" i="7" s="1"/>
  <c r="B65" i="7"/>
  <c r="C65" i="7" s="1"/>
  <c r="B70" i="7"/>
  <c r="C70" i="7" s="1"/>
  <c r="B64" i="7"/>
  <c r="C64" i="7" s="1"/>
  <c r="B52" i="7"/>
  <c r="C52" i="7" s="1"/>
  <c r="B47" i="7"/>
  <c r="C47" i="7" s="1"/>
  <c r="B112" i="7"/>
  <c r="C112" i="7" s="1"/>
  <c r="B69" i="7"/>
  <c r="C69" i="7" s="1"/>
  <c r="B63" i="7"/>
  <c r="C63" i="7" s="1"/>
  <c r="B30" i="7"/>
  <c r="C30" i="7" s="1"/>
  <c r="B102" i="7"/>
  <c r="C102" i="7" s="1"/>
  <c r="B62" i="7"/>
  <c r="C62" i="7" s="1"/>
  <c r="B46" i="7"/>
  <c r="C46" i="7" s="1"/>
  <c r="B117" i="7"/>
  <c r="C117" i="7" s="1"/>
  <c r="B111" i="7"/>
  <c r="C111" i="7" s="1"/>
  <c r="B28" i="7"/>
  <c r="C28" i="7" s="1"/>
  <c r="B90" i="7"/>
  <c r="C90" i="7" s="1"/>
  <c r="B84" i="7"/>
  <c r="C84" i="7" s="1"/>
  <c r="B73" i="7"/>
  <c r="C73" i="7" s="1"/>
  <c r="B61" i="7"/>
  <c r="C61" i="7" s="1"/>
  <c r="B50" i="7"/>
  <c r="C50" i="7" s="1"/>
  <c r="B45" i="7"/>
  <c r="C45" i="7" s="1"/>
  <c r="B34" i="7"/>
  <c r="C34" i="7" s="1"/>
  <c r="B121" i="7"/>
  <c r="C121" i="7" s="1"/>
  <c r="B72" i="7"/>
  <c r="C72" i="7" s="1"/>
  <c r="B44" i="7"/>
  <c r="C44" i="7" s="1"/>
  <c r="B89" i="7"/>
  <c r="C89" i="7" s="1"/>
  <c r="B115" i="7"/>
  <c r="C115" i="7" s="1"/>
  <c r="B82" i="7"/>
  <c r="C82" i="7" s="1"/>
  <c r="B77" i="7"/>
  <c r="C77" i="7" s="1"/>
  <c r="B66" i="7"/>
  <c r="C66" i="7" s="1"/>
  <c r="B33" i="7"/>
  <c r="C33" i="7" s="1"/>
  <c r="B75" i="7"/>
  <c r="C75" i="7" s="1"/>
  <c r="B35" i="7"/>
  <c r="C35" i="7" s="1"/>
  <c r="B74" i="7"/>
  <c r="C74" i="7" s="1"/>
  <c r="B57" i="7"/>
  <c r="C57" i="7" s="1"/>
  <c r="B116" i="7"/>
  <c r="C116" i="7" s="1"/>
  <c r="B87" i="7"/>
  <c r="C87" i="7" s="1"/>
  <c r="B43" i="7"/>
  <c r="C43" i="7" s="1"/>
  <c r="B101" i="7"/>
  <c r="C101" i="7" s="1"/>
  <c r="B100" i="7"/>
  <c r="C100" i="7" s="1"/>
  <c r="B56" i="7"/>
  <c r="C56" i="7" s="1"/>
  <c r="B99" i="7"/>
  <c r="C99" i="7" s="1"/>
  <c r="B55" i="7"/>
  <c r="C55" i="7" s="1"/>
  <c r="B114" i="7"/>
  <c r="C114" i="7" s="1"/>
  <c r="B85" i="7"/>
  <c r="C85" i="7" s="1"/>
  <c r="B68" i="7"/>
  <c r="C68" i="7" s="1"/>
  <c r="B41" i="7"/>
  <c r="C41" i="7" s="1"/>
  <c r="B54" i="7"/>
  <c r="C54" i="7" s="1"/>
  <c r="B113" i="7"/>
  <c r="C113" i="7" s="1"/>
  <c r="B106" i="7"/>
  <c r="C106" i="7" s="1"/>
  <c r="B97" i="7"/>
  <c r="C97" i="7" s="1"/>
  <c r="B76" i="7"/>
  <c r="C76" i="7" s="1"/>
  <c r="B53" i="7"/>
  <c r="C53" i="7" s="1"/>
  <c r="P128" i="7"/>
  <c r="P129" i="7"/>
  <c r="P127" i="7"/>
  <c r="M129" i="7"/>
  <c r="M128" i="7"/>
  <c r="M127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P163" i="7"/>
  <c r="P164" i="7"/>
  <c r="P165" i="7"/>
  <c r="P166" i="7"/>
  <c r="P167" i="7"/>
  <c r="P168" i="7"/>
  <c r="P169" i="7"/>
  <c r="P170" i="7"/>
  <c r="M163" i="7"/>
  <c r="M164" i="7"/>
  <c r="M165" i="7"/>
  <c r="M166" i="7"/>
  <c r="M167" i="7"/>
  <c r="M168" i="7"/>
  <c r="M169" i="7"/>
  <c r="M170" i="7"/>
  <c r="L122" i="7"/>
  <c r="L130" i="7" s="1"/>
  <c r="I122" i="7"/>
  <c r="B151" i="7" l="1"/>
  <c r="B139" i="7"/>
  <c r="B170" i="7"/>
  <c r="B152" i="7"/>
  <c r="B127" i="7"/>
  <c r="B155" i="7"/>
  <c r="B154" i="7"/>
  <c r="B140" i="7"/>
  <c r="B169" i="7"/>
  <c r="B128" i="7"/>
  <c r="B129" i="7"/>
  <c r="B156" i="7"/>
  <c r="B142" i="7"/>
  <c r="B149" i="7"/>
  <c r="B148" i="7"/>
  <c r="B136" i="7"/>
  <c r="B147" i="7"/>
  <c r="B135" i="7"/>
  <c r="B137" i="7"/>
  <c r="B157" i="7"/>
  <c r="B145" i="7"/>
  <c r="B144" i="7"/>
  <c r="B143" i="7"/>
  <c r="B163" i="7"/>
  <c r="B150" i="7"/>
  <c r="B138" i="7"/>
  <c r="B168" i="7"/>
  <c r="B167" i="7"/>
  <c r="B146" i="7"/>
  <c r="B166" i="7"/>
  <c r="B165" i="7"/>
  <c r="B164" i="7"/>
  <c r="B153" i="7"/>
  <c r="B141" i="7"/>
  <c r="I130" i="7"/>
  <c r="L158" i="7"/>
  <c r="I158" i="7"/>
  <c r="P122" i="7" l="1"/>
  <c r="P130" i="7" s="1"/>
  <c r="H158" i="7"/>
  <c r="E158" i="7"/>
  <c r="M122" i="7" l="1"/>
  <c r="M130" i="7" s="1"/>
  <c r="B130" i="7" s="1"/>
  <c r="E122" i="7"/>
  <c r="E130" i="7" s="1"/>
  <c r="M158" i="7"/>
  <c r="H122" i="7"/>
  <c r="H130" i="7" s="1"/>
  <c r="P158" i="7"/>
  <c r="B158" i="7" l="1"/>
  <c r="K13" i="8" l="1"/>
  <c r="K17" i="8" s="1"/>
  <c r="J13" i="8"/>
  <c r="J17" i="8" s="1"/>
  <c r="I13" i="8"/>
  <c r="I17" i="8" s="1"/>
  <c r="H13" i="8"/>
  <c r="H17" i="8" s="1"/>
  <c r="G13" i="8"/>
  <c r="G17" i="8" s="1"/>
  <c r="F13" i="8"/>
  <c r="F17" i="8" s="1"/>
  <c r="E13" i="8"/>
  <c r="E17" i="8" s="1"/>
  <c r="D13" i="8"/>
  <c r="D17" i="8" s="1"/>
  <c r="C13" i="8"/>
  <c r="C17" i="8" s="1"/>
  <c r="B13" i="8"/>
  <c r="B17" i="8" s="1"/>
  <c r="K10" i="8"/>
  <c r="K16" i="8" s="1"/>
  <c r="J10" i="8"/>
  <c r="J16" i="8" s="1"/>
  <c r="I10" i="8"/>
  <c r="I16" i="8" s="1"/>
  <c r="H10" i="8"/>
  <c r="H16" i="8" s="1"/>
  <c r="G10" i="8"/>
  <c r="G16" i="8" s="1"/>
  <c r="F10" i="8"/>
  <c r="F16" i="8" s="1"/>
  <c r="E10" i="8"/>
  <c r="E16" i="8" s="1"/>
  <c r="D10" i="8"/>
  <c r="D16" i="8" s="1"/>
  <c r="C10" i="8"/>
  <c r="C16" i="8" s="1"/>
  <c r="B10" i="8"/>
  <c r="B16" i="8" s="1"/>
  <c r="K13" i="5" l="1"/>
  <c r="K17" i="5" s="1"/>
  <c r="J13" i="5"/>
  <c r="J17" i="5" s="1"/>
  <c r="I13" i="5"/>
  <c r="I17" i="5" s="1"/>
  <c r="H13" i="5"/>
  <c r="H17" i="5" s="1"/>
  <c r="G13" i="5"/>
  <c r="G17" i="5" s="1"/>
  <c r="F13" i="5"/>
  <c r="F17" i="5" s="1"/>
  <c r="E13" i="5"/>
  <c r="E17" i="5" s="1"/>
  <c r="D13" i="5"/>
  <c r="D17" i="5" s="1"/>
  <c r="C13" i="5"/>
  <c r="C17" i="5" s="1"/>
  <c r="B13" i="5"/>
  <c r="B17" i="5" s="1"/>
  <c r="C10" i="5"/>
  <c r="C16" i="5" s="1"/>
  <c r="D10" i="5"/>
  <c r="D16" i="5" s="1"/>
  <c r="E10" i="5"/>
  <c r="E16" i="5" s="1"/>
  <c r="F10" i="5"/>
  <c r="F16" i="5" s="1"/>
  <c r="G10" i="5"/>
  <c r="G16" i="5" s="1"/>
  <c r="H10" i="5"/>
  <c r="H16" i="5" s="1"/>
  <c r="I10" i="5"/>
  <c r="I16" i="5" s="1"/>
  <c r="J10" i="5"/>
  <c r="J16" i="5" s="1"/>
  <c r="K10" i="5"/>
  <c r="K16" i="5" s="1"/>
  <c r="B10" i="5"/>
  <c r="B16" i="5" s="1"/>
  <c r="F17" i="6" l="1"/>
  <c r="H17" i="6" s="1"/>
  <c r="G17" i="6"/>
  <c r="I17" i="6" s="1"/>
  <c r="F16" i="6"/>
  <c r="H16" i="6" s="1"/>
  <c r="G16" i="6"/>
  <c r="I16" i="6" s="1"/>
  <c r="F15" i="6"/>
  <c r="H15" i="6" s="1"/>
  <c r="G14" i="6"/>
  <c r="I14" i="6" s="1"/>
  <c r="F14" i="6"/>
  <c r="I13" i="6" l="1"/>
  <c r="D22" i="6"/>
  <c r="H14" i="6"/>
  <c r="B22" i="6" s="1"/>
  <c r="B24" i="6"/>
  <c r="C24" i="6"/>
  <c r="D25" i="6"/>
  <c r="B25" i="6"/>
  <c r="E25" i="6"/>
  <c r="D24" i="6"/>
  <c r="E22" i="6"/>
  <c r="E24" i="6"/>
  <c r="C22" i="6"/>
  <c r="C25" i="6"/>
  <c r="F22" i="6" l="1"/>
  <c r="H13" i="6"/>
  <c r="B21" i="6" s="1"/>
  <c r="B9" i="7" l="1"/>
  <c r="F24" i="6"/>
  <c r="G24" i="6" s="1"/>
  <c r="H24" i="6"/>
  <c r="I24" i="6" s="1"/>
  <c r="F25" i="6"/>
  <c r="G25" i="6" s="1"/>
  <c r="H25" i="6"/>
  <c r="I25" i="6" s="1"/>
  <c r="B10" i="7"/>
  <c r="H22" i="6"/>
  <c r="G22" i="6" l="1"/>
  <c r="O34" i="7"/>
  <c r="N108" i="7"/>
  <c r="I22" i="6"/>
  <c r="C23" i="6"/>
  <c r="B23" i="6"/>
  <c r="D23" i="6"/>
  <c r="E23" i="6"/>
  <c r="H23" i="6"/>
  <c r="I23" i="6" s="1"/>
  <c r="F23" i="6"/>
  <c r="G23" i="6" s="1"/>
  <c r="O38" i="7" l="1"/>
  <c r="O97" i="7"/>
  <c r="O71" i="7"/>
  <c r="O53" i="7"/>
  <c r="O77" i="7"/>
  <c r="O103" i="7"/>
  <c r="O109" i="7"/>
  <c r="O80" i="7"/>
  <c r="N141" i="7"/>
  <c r="O61" i="7"/>
  <c r="O49" i="7"/>
  <c r="O60" i="7"/>
  <c r="N93" i="7"/>
  <c r="O94" i="7"/>
  <c r="O96" i="7"/>
  <c r="O51" i="7"/>
  <c r="O102" i="7"/>
  <c r="O91" i="7"/>
  <c r="O37" i="7"/>
  <c r="O73" i="7"/>
  <c r="N81" i="7"/>
  <c r="O112" i="7"/>
  <c r="O65" i="7"/>
  <c r="O100" i="7"/>
  <c r="O44" i="7"/>
  <c r="O89" i="7"/>
  <c r="O106" i="7"/>
  <c r="O92" i="7"/>
  <c r="N156" i="7"/>
  <c r="O67" i="7"/>
  <c r="O118" i="7"/>
  <c r="O46" i="7"/>
  <c r="O31" i="7"/>
  <c r="N138" i="7"/>
  <c r="N104" i="7"/>
  <c r="N92" i="7"/>
  <c r="N33" i="7"/>
  <c r="O81" i="7"/>
  <c r="N36" i="7"/>
  <c r="N89" i="7"/>
  <c r="N47" i="7"/>
  <c r="N32" i="7"/>
  <c r="O50" i="7"/>
  <c r="N78" i="7"/>
  <c r="N82" i="7"/>
  <c r="N101" i="7"/>
  <c r="N83" i="7"/>
  <c r="N105" i="7"/>
  <c r="N112" i="7"/>
  <c r="N40" i="7"/>
  <c r="N84" i="7"/>
  <c r="N48" i="7"/>
  <c r="N63" i="7"/>
  <c r="N52" i="7"/>
  <c r="N151" i="7"/>
  <c r="N150" i="7"/>
  <c r="O74" i="7"/>
  <c r="O82" i="7"/>
  <c r="O28" i="7"/>
  <c r="O148" i="7"/>
  <c r="O169" i="7"/>
  <c r="N129" i="7"/>
  <c r="N61" i="7"/>
  <c r="N121" i="7"/>
  <c r="N34" i="7"/>
  <c r="N53" i="7"/>
  <c r="N42" i="7"/>
  <c r="N96" i="7"/>
  <c r="O62" i="7"/>
  <c r="O113" i="7"/>
  <c r="N29" i="7"/>
  <c r="O170" i="7"/>
  <c r="N119" i="7"/>
  <c r="N107" i="7"/>
  <c r="O139" i="7"/>
  <c r="N170" i="7"/>
  <c r="N49" i="7"/>
  <c r="N68" i="7"/>
  <c r="N165" i="7"/>
  <c r="N37" i="7"/>
  <c r="N56" i="7"/>
  <c r="N109" i="7"/>
  <c r="N51" i="7"/>
  <c r="N54" i="7"/>
  <c r="N70" i="7"/>
  <c r="N73" i="7"/>
  <c r="N31" i="7"/>
  <c r="O105" i="7"/>
  <c r="O114" i="7"/>
  <c r="N65" i="7"/>
  <c r="O55" i="7"/>
  <c r="N153" i="7"/>
  <c r="O87" i="7"/>
  <c r="O110" i="7"/>
  <c r="N127" i="7"/>
  <c r="N95" i="7"/>
  <c r="N106" i="7"/>
  <c r="N114" i="7"/>
  <c r="N75" i="7"/>
  <c r="O86" i="7"/>
  <c r="N116" i="7"/>
  <c r="O88" i="7"/>
  <c r="N35" i="7"/>
  <c r="N98" i="7"/>
  <c r="O39" i="7"/>
  <c r="O69" i="7"/>
  <c r="N67" i="7"/>
  <c r="N44" i="7"/>
  <c r="N58" i="7"/>
  <c r="N103" i="7"/>
  <c r="O84" i="7"/>
  <c r="O41" i="7"/>
  <c r="O76" i="7"/>
  <c r="O93" i="7"/>
  <c r="O30" i="7"/>
  <c r="N86" i="7"/>
  <c r="N100" i="7"/>
  <c r="N77" i="7"/>
  <c r="O115" i="7"/>
  <c r="O43" i="7"/>
  <c r="O72" i="7"/>
  <c r="O57" i="7"/>
  <c r="O111" i="7"/>
  <c r="O83" i="7"/>
  <c r="N143" i="7"/>
  <c r="N80" i="7"/>
  <c r="N55" i="7"/>
  <c r="N71" i="7"/>
  <c r="N118" i="7"/>
  <c r="N46" i="7"/>
  <c r="N91" i="7"/>
  <c r="O95" i="7"/>
  <c r="O90" i="7"/>
  <c r="O79" i="7"/>
  <c r="O48" i="7"/>
  <c r="N163" i="7"/>
  <c r="N60" i="7"/>
  <c r="N113" i="7"/>
  <c r="N41" i="7"/>
  <c r="N74" i="7"/>
  <c r="N115" i="7"/>
  <c r="N88" i="7"/>
  <c r="N69" i="7"/>
  <c r="O33" i="7"/>
  <c r="O64" i="7"/>
  <c r="O66" i="7"/>
  <c r="O99" i="7"/>
  <c r="O117" i="7"/>
  <c r="O45" i="7"/>
  <c r="O63" i="7"/>
  <c r="O120" i="7"/>
  <c r="N64" i="7"/>
  <c r="N43" i="7"/>
  <c r="N38" i="7"/>
  <c r="N79" i="7"/>
  <c r="O85" i="7"/>
  <c r="O68" i="7"/>
  <c r="O78" i="7"/>
  <c r="O59" i="7"/>
  <c r="O36" i="7"/>
  <c r="N97" i="7"/>
  <c r="N99" i="7"/>
  <c r="N76" i="7"/>
  <c r="N57" i="7"/>
  <c r="N102" i="7"/>
  <c r="N30" i="7"/>
  <c r="O52" i="7"/>
  <c r="O54" i="7"/>
  <c r="O116" i="7"/>
  <c r="O70" i="7"/>
  <c r="O119" i="7"/>
  <c r="O108" i="7"/>
  <c r="O35" i="7"/>
  <c r="N147" i="7"/>
  <c r="N155" i="7"/>
  <c r="N39" i="7"/>
  <c r="N94" i="7"/>
  <c r="N66" i="7"/>
  <c r="N120" i="7"/>
  <c r="N72" i="7"/>
  <c r="N117" i="7"/>
  <c r="N28" i="7"/>
  <c r="N59" i="7"/>
  <c r="O121" i="7"/>
  <c r="O56" i="7"/>
  <c r="O101" i="7"/>
  <c r="O29" i="7"/>
  <c r="O47" i="7"/>
  <c r="O104" i="7"/>
  <c r="N157" i="7"/>
  <c r="N139" i="7"/>
  <c r="N111" i="7"/>
  <c r="N110" i="7"/>
  <c r="N85" i="7"/>
  <c r="N62" i="7"/>
  <c r="N87" i="7"/>
  <c r="N50" i="7"/>
  <c r="N45" i="7"/>
  <c r="N90" i="7"/>
  <c r="O40" i="7"/>
  <c r="O98" i="7"/>
  <c r="O42" i="7"/>
  <c r="O75" i="7"/>
  <c r="O58" i="7"/>
  <c r="O107" i="7"/>
  <c r="O32" i="7"/>
  <c r="O138" i="7"/>
  <c r="N144" i="7"/>
  <c r="N145" i="7"/>
  <c r="O156" i="7"/>
  <c r="N169" i="7"/>
  <c r="O147" i="7"/>
  <c r="N137" i="7"/>
  <c r="N142" i="7"/>
  <c r="N167" i="7"/>
  <c r="O149" i="7"/>
  <c r="O141" i="7"/>
  <c r="N146" i="7"/>
  <c r="N148" i="7"/>
  <c r="N166" i="7"/>
  <c r="N128" i="7"/>
  <c r="O143" i="7"/>
  <c r="N140" i="7"/>
  <c r="O135" i="7"/>
  <c r="O150" i="7"/>
  <c r="O136" i="7"/>
  <c r="O151" i="7"/>
  <c r="O137" i="7"/>
  <c r="N135" i="7"/>
  <c r="O153" i="7"/>
  <c r="O163" i="7"/>
  <c r="O152" i="7"/>
  <c r="O144" i="7"/>
  <c r="O140" i="7"/>
  <c r="J122" i="7"/>
  <c r="J130" i="7" s="1"/>
  <c r="N136" i="7"/>
  <c r="N154" i="7"/>
  <c r="N164" i="7"/>
  <c r="N149" i="7"/>
  <c r="N168" i="7"/>
  <c r="J158" i="7"/>
  <c r="O154" i="7"/>
  <c r="O146" i="7"/>
  <c r="N152" i="7"/>
  <c r="O164" i="7"/>
  <c r="O155" i="7"/>
  <c r="O168" i="7"/>
  <c r="O165" i="7"/>
  <c r="O157" i="7"/>
  <c r="O127" i="7"/>
  <c r="O142" i="7"/>
  <c r="O167" i="7"/>
  <c r="O129" i="7"/>
  <c r="O128" i="7"/>
  <c r="O145" i="7"/>
  <c r="O166" i="7"/>
  <c r="K158" i="7"/>
  <c r="K130" i="7"/>
  <c r="G122" i="7"/>
  <c r="G130" i="7" s="1"/>
  <c r="F122" i="7"/>
  <c r="F130" i="7" s="1"/>
  <c r="F158" i="7"/>
  <c r="G158" i="7"/>
  <c r="N122" i="7" l="1"/>
  <c r="N130" i="7" s="1"/>
  <c r="N158" i="7"/>
  <c r="O158" i="7"/>
  <c r="O122" i="7"/>
  <c r="O130" i="7" s="1"/>
  <c r="E21" i="6"/>
  <c r="D21" i="6"/>
  <c r="C21" i="6" l="1"/>
</calcChain>
</file>

<file path=xl/sharedStrings.xml><?xml version="1.0" encoding="utf-8"?>
<sst xmlns="http://schemas.openxmlformats.org/spreadsheetml/2006/main" count="494" uniqueCount="253">
  <si>
    <t>Alsergrund</t>
  </si>
  <si>
    <t>Amstetten</t>
  </si>
  <si>
    <t>Baden</t>
  </si>
  <si>
    <t>Bahn</t>
  </si>
  <si>
    <t>Bludenz</t>
  </si>
  <si>
    <t>Brigittenau</t>
  </si>
  <si>
    <t>Bruck an der Leitha</t>
  </si>
  <si>
    <t>Bruck-Mürzzuschlag</t>
  </si>
  <si>
    <t>Deutschlandsberg</t>
  </si>
  <si>
    <t>Döbling</t>
  </si>
  <si>
    <t>Donaustadt</t>
  </si>
  <si>
    <t>Dornbirn</t>
  </si>
  <si>
    <t>Eferding</t>
  </si>
  <si>
    <t>Eisenstadt Umgebung</t>
  </si>
  <si>
    <t>Expositur Gröbming</t>
  </si>
  <si>
    <t>Favoriten</t>
  </si>
  <si>
    <t>Feldkirch</t>
  </si>
  <si>
    <t>Feldkirchen</t>
  </si>
  <si>
    <t>Floridsdorf</t>
  </si>
  <si>
    <t>Freistadt</t>
  </si>
  <si>
    <t>Gänserndorf</t>
  </si>
  <si>
    <t>Gmünd</t>
  </si>
  <si>
    <t>Gmunden</t>
  </si>
  <si>
    <t>Graz (Stadt)</t>
  </si>
  <si>
    <t>Graz Umgebung</t>
  </si>
  <si>
    <t>Grieskirchen</t>
  </si>
  <si>
    <t>Güssing</t>
  </si>
  <si>
    <t>Hallein</t>
  </si>
  <si>
    <t>Hartberg (HF)</t>
  </si>
  <si>
    <t>Hermagor</t>
  </si>
  <si>
    <t>Hernals</t>
  </si>
  <si>
    <t>Hietzing</t>
  </si>
  <si>
    <t>Hollabrunn</t>
  </si>
  <si>
    <t>Horn</t>
  </si>
  <si>
    <t>Imst</t>
  </si>
  <si>
    <t>Innere Stadt</t>
  </si>
  <si>
    <t>Innsbruck (Stadt)</t>
  </si>
  <si>
    <t>Innsbruck Land</t>
  </si>
  <si>
    <t>Jennersdorf</t>
  </si>
  <si>
    <t>Josefstadt</t>
  </si>
  <si>
    <t>Kirchdorf</t>
  </si>
  <si>
    <t>Kitzbühel</t>
  </si>
  <si>
    <t>Klagenfurt (Stadt)</t>
  </si>
  <si>
    <t>Klagenfurt Land</t>
  </si>
  <si>
    <t>Klosterneuburg (BH Tulln)</t>
  </si>
  <si>
    <t>Korneuburg</t>
  </si>
  <si>
    <t>Krems Land</t>
  </si>
  <si>
    <t>Kufstein</t>
  </si>
  <si>
    <t>Landeck</t>
  </si>
  <si>
    <t>Landstraße</t>
  </si>
  <si>
    <t>Leibnitz</t>
  </si>
  <si>
    <t>Leoben (Stadt)</t>
  </si>
  <si>
    <t>Leoben Umgebung</t>
  </si>
  <si>
    <t>Leopoldstadt</t>
  </si>
  <si>
    <t>Lienz</t>
  </si>
  <si>
    <t>Liesing</t>
  </si>
  <si>
    <t>Liezen</t>
  </si>
  <si>
    <t>Lilienfeld</t>
  </si>
  <si>
    <t>Linz Land</t>
  </si>
  <si>
    <t>Margareten</t>
  </si>
  <si>
    <t>Mariahilf</t>
  </si>
  <si>
    <t>Mattersburg</t>
  </si>
  <si>
    <t>Meidling</t>
  </si>
  <si>
    <t>Melk</t>
  </si>
  <si>
    <t>Mistelbach</t>
  </si>
  <si>
    <t>Mödling</t>
  </si>
  <si>
    <t>Murau</t>
  </si>
  <si>
    <t>Murtal</t>
  </si>
  <si>
    <t>Neubau</t>
  </si>
  <si>
    <t>Neunkirchen</t>
  </si>
  <si>
    <t>Neusiedl am See</t>
  </si>
  <si>
    <t>Oberpullendorf</t>
  </si>
  <si>
    <t>Oberwart</t>
  </si>
  <si>
    <t>Ottakring</t>
  </si>
  <si>
    <t>Penzing</t>
  </si>
  <si>
    <t>Perg</t>
  </si>
  <si>
    <t>Post</t>
  </si>
  <si>
    <t>Reutte</t>
  </si>
  <si>
    <t>Rohrbach</t>
  </si>
  <si>
    <t>Rudolfsheim-Fünfhaus</t>
  </si>
  <si>
    <t>Salzburg (Stadt)</t>
  </si>
  <si>
    <t>Schärding</t>
  </si>
  <si>
    <t>Scheibbs</t>
  </si>
  <si>
    <t>Schwaz</t>
  </si>
  <si>
    <t>Schwechat</t>
  </si>
  <si>
    <t>Simmering</t>
  </si>
  <si>
    <t>Spittal an der Drau</t>
  </si>
  <si>
    <t>St. Johann im Pongau</t>
  </si>
  <si>
    <t>St. Pölten Land</t>
  </si>
  <si>
    <t>Stadt Linz</t>
  </si>
  <si>
    <t>Stadt Wels</t>
  </si>
  <si>
    <t>Steyr Land</t>
  </si>
  <si>
    <t>Südoststeiermark</t>
  </si>
  <si>
    <t>Tamsweg</t>
  </si>
  <si>
    <t>Tulln</t>
  </si>
  <si>
    <t>Urfahr</t>
  </si>
  <si>
    <t>Villach (Stadt)</t>
  </si>
  <si>
    <t>Villach Land</t>
  </si>
  <si>
    <t>Vöcklabruck</t>
  </si>
  <si>
    <t>Voitsberg</t>
  </si>
  <si>
    <t>Völkermarkt</t>
  </si>
  <si>
    <t>Währing</t>
  </si>
  <si>
    <t>Waidhofen an der Thaya</t>
  </si>
  <si>
    <t>Weiz</t>
  </si>
  <si>
    <t>Wels Land</t>
  </si>
  <si>
    <t>Wieden</t>
  </si>
  <si>
    <t>Wolfsberg</t>
  </si>
  <si>
    <t>Zell am See</t>
  </si>
  <si>
    <t>Zwettl</t>
  </si>
  <si>
    <t>Wien</t>
  </si>
  <si>
    <t>Gesamt</t>
  </si>
  <si>
    <t>Privat-Anteil</t>
  </si>
  <si>
    <t>MITTELWERTE</t>
  </si>
  <si>
    <t>Bgld.</t>
  </si>
  <si>
    <t>Ktn.</t>
  </si>
  <si>
    <t>NÖ</t>
  </si>
  <si>
    <t>Stadt St. Pölten</t>
  </si>
  <si>
    <t>OÖ</t>
  </si>
  <si>
    <t>Sbg.</t>
  </si>
  <si>
    <t>Salzburg Umgebung</t>
  </si>
  <si>
    <t>Stmk.</t>
  </si>
  <si>
    <t>Tirol</t>
  </si>
  <si>
    <t>Vbg.</t>
  </si>
  <si>
    <t>Polizei, Justizw., Finanzverw.</t>
  </si>
  <si>
    <t>Kein BLD</t>
  </si>
  <si>
    <t>Diesel-PHEV (HR)</t>
  </si>
  <si>
    <t>Bestand per 31.12.2023</t>
  </si>
  <si>
    <t>Betrieblich</t>
  </si>
  <si>
    <t>Privat</t>
  </si>
  <si>
    <t>Benzin-PHEV</t>
  </si>
  <si>
    <t>Diesel-PHEV</t>
  </si>
  <si>
    <t>Priv. B-PHEV</t>
  </si>
  <si>
    <t>Betr. B-PHEV</t>
  </si>
  <si>
    <t>Priv. D-PHEV</t>
  </si>
  <si>
    <t>Betr. D-PHEV</t>
  </si>
  <si>
    <t>Anteil an Bestand</t>
  </si>
  <si>
    <t>GESAMT</t>
  </si>
  <si>
    <t>Burgenland</t>
  </si>
  <si>
    <t>Kärnten</t>
  </si>
  <si>
    <t>Niederösterreich</t>
  </si>
  <si>
    <t>Oberösterreich</t>
  </si>
  <si>
    <t>Salzburg</t>
  </si>
  <si>
    <t>Steiermark</t>
  </si>
  <si>
    <t>Vorarlberg</t>
  </si>
  <si>
    <t>BEV Gesamt</t>
  </si>
  <si>
    <t>Alle Gesamt</t>
  </si>
  <si>
    <t>Österreich Gesamt</t>
  </si>
  <si>
    <t>Private Benzin-PHEV</t>
  </si>
  <si>
    <t>Betriebliche Benzin-PHEV</t>
  </si>
  <si>
    <t>Private Diesel-PHEV</t>
  </si>
  <si>
    <t>Betriebliche Diesel-PHEV</t>
  </si>
  <si>
    <t>PHEV-Anteil</t>
  </si>
  <si>
    <t>BEV-Anteil</t>
  </si>
  <si>
    <t>BEV-PKW</t>
  </si>
  <si>
    <t>PHEV-PKW</t>
  </si>
  <si>
    <t>PKW Gesamt</t>
  </si>
  <si>
    <t>Bezirk St. Veit an der Glan</t>
  </si>
  <si>
    <t>Bezirk Wiener Neustadt</t>
  </si>
  <si>
    <t>Braunau am Inn</t>
  </si>
  <si>
    <t>Bregenz</t>
  </si>
  <si>
    <t>Eisenstadt Stadt</t>
  </si>
  <si>
    <t>Krems an der Donau</t>
  </si>
  <si>
    <t>Ried im Innkreis</t>
  </si>
  <si>
    <t>Steyr Stadt</t>
  </si>
  <si>
    <t>Wiener Neustadt (Stadt)</t>
  </si>
  <si>
    <t>Wien im Detail:</t>
  </si>
  <si>
    <t>Politische Bezirke (optimiert für Kartendarstellung)</t>
  </si>
  <si>
    <t>Regierungsbezirk</t>
  </si>
  <si>
    <t>Kategorie</t>
  </si>
  <si>
    <t>County</t>
  </si>
  <si>
    <t>Leoben</t>
  </si>
  <si>
    <t>Waidhofen an der Ybbs</t>
  </si>
  <si>
    <t xml:space="preserve">Summe </t>
  </si>
  <si>
    <t>Meldestellen ohne geografische Zuordnung:</t>
  </si>
  <si>
    <t>Österreich gesamt</t>
  </si>
  <si>
    <t>Summe</t>
  </si>
  <si>
    <t>Schätzung Anteil Benzin-PHEV-Anteil an Benzin-HEV</t>
  </si>
  <si>
    <t>Schätzung Anteil Diesel-PHEV an Diesel-HEV</t>
  </si>
  <si>
    <t>BEV NZL</t>
  </si>
  <si>
    <t>NZL GESAMT</t>
  </si>
  <si>
    <t>BE 23 GES</t>
  </si>
  <si>
    <t>BEV BE 23</t>
  </si>
  <si>
    <t>BEV BE 06/24</t>
  </si>
  <si>
    <t>Benzin-PHEV BE 06/24</t>
  </si>
  <si>
    <t>Diesel-PHEV BE 06/24</t>
  </si>
  <si>
    <t>BE 06/24</t>
  </si>
  <si>
    <t>Meldestelle</t>
  </si>
  <si>
    <t>Meldestellen WIEN</t>
  </si>
  <si>
    <t>Meldestellen</t>
  </si>
  <si>
    <t>Zusammengeführte Meldestellen im Detail:</t>
  </si>
  <si>
    <t xml:space="preserve">Die hochgerechneten Werte für den Bestand im 1. Halbjahr liegen über den tatsächlichen Werten. </t>
  </si>
  <si>
    <t>Rust</t>
  </si>
  <si>
    <t>(siehe Berechnung in "Bestand_M1_PHEV")</t>
  </si>
  <si>
    <t>Hinweise zu PHEV-Anteilen:</t>
  </si>
  <si>
    <t>Weitere Hinweise:</t>
  </si>
  <si>
    <t>Die geschätzten PHEV Neuzulassungen im 1. Halbjahr liegen daher voraussichtlich etwas höher als die tatsächlichen Werte.</t>
  </si>
  <si>
    <t>Da keine untersjährigen Daten zu PHEV vorliegen, erfolgen Abschätzungen.</t>
  </si>
  <si>
    <t>Da keine untersjährigen Daten zum BEV-Bestand auf Ebene der politischen Bezirke vorliegen, erfolgen Abschätzungen.</t>
  </si>
  <si>
    <t>Für exakte Bestandszahlen von Österreich insgesamt ziehen Sie bitte die Juni-2024-Version der Zahlen, Daten und Fakten heran.</t>
  </si>
  <si>
    <t>Kategorisierung des BEV-Anteils zur grafischen Darstellung:</t>
  </si>
  <si>
    <t>Eisenstadt &amp; Rust sind darstellungsbedingt separat erfasst.</t>
  </si>
  <si>
    <t>Trotz sorgfältiger Analyse können Fehler hinsichtlich Vollständigkeit, Aktualität und Richtigkeit nicht ausgeschlossen werden. Statistik Austria und AustriaTech übernehmen keinerlei Haftung für etwaige Folgen, die durch die Verwendung der Daten entstehen.</t>
  </si>
  <si>
    <t>Quelle: Statistik Austria; Aufbereitung und Darstellung: OLÉ - Österreichs Leistelle für Elektromobilität @AustriaTech</t>
  </si>
  <si>
    <t>Vollelektrisch voraus</t>
  </si>
  <si>
    <t>Neuzulassungs- und Bestandszahlen zu BEV LKW (Klasse N1) in Österreich, 2023 &amp; 1. Halbjahr 2024</t>
  </si>
  <si>
    <t>BEV Betrieblich</t>
  </si>
  <si>
    <t>BEV Privat</t>
  </si>
  <si>
    <t>Alle Betrieblich</t>
  </si>
  <si>
    <t>Alle Privat</t>
  </si>
  <si>
    <t>Privat-Anteile</t>
  </si>
  <si>
    <t>Bestand 2023: BEV-PKW</t>
  </si>
  <si>
    <t>Bestand 2023: Alle PKW</t>
  </si>
  <si>
    <t>Neuzulassungs- und Bestandszahlen zu BEV PKW (Klasse M1) in Österreich, 2023 &amp; 1. Halbjahr 2024</t>
  </si>
  <si>
    <t>LKW (N1) Bestand 2023</t>
  </si>
  <si>
    <t>PKW (M1) Bestand 2023</t>
  </si>
  <si>
    <t>Bestand 2023: BEV-LKW</t>
  </si>
  <si>
    <t>Bestand 2023: Alle LKW</t>
  </si>
  <si>
    <t>Gebrauchtzulassungen zu BEV- und PHEV- PKW (Klasse M1) in Österreich, 2019 bis 1. Halbjahr 2024</t>
  </si>
  <si>
    <t>2024
[1.Halbjahr]</t>
  </si>
  <si>
    <t>BEV-Monats-Mittelwerte</t>
  </si>
  <si>
    <t>PHEV-Monats-Mittelwerte</t>
  </si>
  <si>
    <t>Kategorie 1 ... kleiner als</t>
  </si>
  <si>
    <t>Kategorie 4 … ab</t>
  </si>
  <si>
    <t>Kategorie 2 … ab 2,00 %, aber kleiner als</t>
  </si>
  <si>
    <t>Kategorie 3 … ab 3,00 %, aber kleiner als</t>
  </si>
  <si>
    <t>Hinweise:</t>
  </si>
  <si>
    <t>Unterjährig müssen die PHEV-Bestandszahlen mangels Verfügbarkeit monatlich verfügbarer Zahlen auf Basis des Bestands per Vorjahresende und der kumulierten Neuzulassungen des laufenden Jahres hochgerechnet werden.</t>
  </si>
  <si>
    <t>Ein Rückblick auf die aggregierten Monatsmittelwerte für 2021 bis 2023 im Vergleich mit den jeweils finalen Zahlen bestätigt diese Herangehensweise.</t>
  </si>
  <si>
    <t>Bestandszahlen und Anteile PKW (M1)</t>
  </si>
  <si>
    <t>Gebraucht ist das neue Neu</t>
  </si>
  <si>
    <t>Entwicklungen der Plug-In-Hybride</t>
  </si>
  <si>
    <t>Bezirke im Blick</t>
  </si>
  <si>
    <t>Bestand [absolut und Anteile] von PHEV- PKW (Klasse M1) in Österreich, 2020</t>
  </si>
  <si>
    <t>PHEV-Anteile (am Gesamtbestand)</t>
  </si>
  <si>
    <t>2024 (Hochrechnung)</t>
  </si>
  <si>
    <t>1. Halbjahr 2024 (Hochrechnung)</t>
  </si>
  <si>
    <t>Benzin-PHEV (HR)</t>
  </si>
  <si>
    <t>Hochrechnung 1. Halbjahr 2024</t>
  </si>
  <si>
    <t>Neuzulassungen im 1. Halbjahr 2024 (Jän bis Jun)</t>
  </si>
  <si>
    <t>Bestand per 1. Halbjahr 2024 (Hochrechnung)</t>
  </si>
  <si>
    <t>Bestand [absolut und Anteile] von BEV- und PHEV- PKW (Klasse M1) nach Meldestellen Österreichs, 2023 &amp; 1. Halbjahr 2024</t>
  </si>
  <si>
    <t>Der errechnete BEV-Anteil liegt mit 3,35 % leicht unter den 3,39 % die auf Basis der finalen Zahlen errechnet werden können. Analog ist davon auszugehen, dass die Bezirks-Anteile jeweils leicht unterschätzt wurden.</t>
  </si>
  <si>
    <t xml:space="preserve">Neuzulassungen 1. Halbjahr 2024: BEV-PKW </t>
  </si>
  <si>
    <t>Neuzulassungen 1. Halbjahr 2024: Alle PKW</t>
  </si>
  <si>
    <t xml:space="preserve">Neuzulassungen 1. Halbjahr 2024: BEV-LKW </t>
  </si>
  <si>
    <t>Neuzulassungen 1. Halbjahr 2024: Alle LKW</t>
  </si>
  <si>
    <t>Anteil Benzin-PHEV (mit Lademöglichkeit) an allen Benzin-Hybrid-PKW</t>
  </si>
  <si>
    <t>Anteil Diesel-PHEV (mit Lademöglichkeit an allen Diesel-Hybrid-PKW</t>
  </si>
  <si>
    <t>Anteil an Benzin-Hybrid-PKW</t>
  </si>
  <si>
    <t>Anteil an Diesel-Hybrid-PKW</t>
  </si>
  <si>
    <t>Exkurs zu LKW der Klasse N1:</t>
  </si>
  <si>
    <t>Für leichte LKW (N1) lässt sich für den Bestand 2023 festhalten, dass weniger als 100 Benzin-Hybride (davon fast die Hälfte BEV) und weniger als 1.000 Diesel-Hybride (kein aufladbares Fahrzeug) registriert sind.</t>
  </si>
  <si>
    <t>Die überwiegende Mehrheit der LKW (N1) im Bestand - rund 95 % - ist  per Ende 2023 auf Firmen registriert.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</si>
</sst>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sz val="8"/>
      <name val="Aptos Narrow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color theme="0"/>
      <name val="Arial"/>
      <family val="2"/>
    </font>
    <font>
      <sz val="8"/>
      <color theme="1" tint="0.499984740745262"/>
      <name val="Arial"/>
      <family val="2"/>
    </font>
    <font>
      <sz val="11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u/>
      <sz val="8"/>
      <name val="Arial"/>
      <family val="2"/>
    </font>
    <font>
      <b/>
      <sz val="14"/>
      <color rgb="FFC898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theme="9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>
      <alignment horizontal="right"/>
    </xf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>
      <alignment horizontal="center" vertical="center" wrapText="1"/>
    </xf>
    <xf numFmtId="0" fontId="7" fillId="0" borderId="0">
      <alignment horizontal="center" vertical="center" wrapText="1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>
      <alignment horizontal="left"/>
    </xf>
  </cellStyleXfs>
  <cellXfs count="22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0" fontId="0" fillId="0" borderId="0" xfId="0" applyNumberFormat="1"/>
    <xf numFmtId="0" fontId="12" fillId="0" borderId="0" xfId="16"/>
    <xf numFmtId="0" fontId="13" fillId="0" borderId="0" xfId="16" applyFont="1"/>
    <xf numFmtId="3" fontId="13" fillId="0" borderId="0" xfId="16" applyNumberFormat="1" applyFont="1" applyAlignment="1" applyProtection="1">
      <alignment horizontal="right"/>
      <protection locked="0"/>
    </xf>
    <xf numFmtId="0" fontId="16" fillId="0" borderId="0" xfId="0" applyFont="1"/>
    <xf numFmtId="164" fontId="16" fillId="0" borderId="0" xfId="1" applyNumberFormat="1" applyFont="1"/>
    <xf numFmtId="164" fontId="17" fillId="0" borderId="4" xfId="1" applyNumberFormat="1" applyFont="1" applyBorder="1"/>
    <xf numFmtId="164" fontId="17" fillId="0" borderId="5" xfId="1" applyNumberFormat="1" applyFont="1" applyBorder="1"/>
    <xf numFmtId="164" fontId="7" fillId="0" borderId="0" xfId="1" applyNumberFormat="1" applyFont="1" applyBorder="1" applyAlignment="1">
      <alignment horizontal="right"/>
    </xf>
    <xf numFmtId="0" fontId="7" fillId="0" borderId="9" xfId="14" applyBorder="1" applyAlignment="1">
      <alignment horizontal="left" vertical="center" wrapText="1"/>
    </xf>
    <xf numFmtId="164" fontId="16" fillId="0" borderId="0" xfId="0" applyNumberFormat="1" applyFont="1"/>
    <xf numFmtId="164" fontId="17" fillId="0" borderId="4" xfId="0" applyNumberFormat="1" applyFont="1" applyBorder="1"/>
    <xf numFmtId="164" fontId="17" fillId="0" borderId="5" xfId="0" applyNumberFormat="1" applyFont="1" applyBorder="1"/>
    <xf numFmtId="164" fontId="7" fillId="0" borderId="19" xfId="1" applyNumberFormat="1" applyFont="1" applyBorder="1" applyAlignment="1">
      <alignment horizontal="right"/>
    </xf>
    <xf numFmtId="164" fontId="7" fillId="0" borderId="1" xfId="1" applyNumberFormat="1" applyFont="1" applyBorder="1" applyAlignment="1">
      <alignment horizontal="right"/>
    </xf>
    <xf numFmtId="164" fontId="16" fillId="0" borderId="19" xfId="0" applyNumberFormat="1" applyFont="1" applyBorder="1"/>
    <xf numFmtId="164" fontId="17" fillId="0" borderId="3" xfId="1" applyNumberFormat="1" applyFont="1" applyBorder="1"/>
    <xf numFmtId="164" fontId="17" fillId="0" borderId="3" xfId="0" applyNumberFormat="1" applyFont="1" applyBorder="1"/>
    <xf numFmtId="164" fontId="7" fillId="0" borderId="19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0" fontId="8" fillId="0" borderId="3" xfId="14" applyFont="1" applyBorder="1" applyAlignment="1">
      <alignment horizontal="left" vertical="center" wrapText="1"/>
    </xf>
    <xf numFmtId="0" fontId="17" fillId="0" borderId="4" xfId="0" applyFont="1" applyBorder="1"/>
    <xf numFmtId="164" fontId="17" fillId="0" borderId="4" xfId="1" applyNumberFormat="1" applyFont="1" applyFill="1" applyBorder="1"/>
    <xf numFmtId="164" fontId="17" fillId="0" borderId="5" xfId="1" applyNumberFormat="1" applyFont="1" applyFill="1" applyBorder="1"/>
    <xf numFmtId="164" fontId="17" fillId="0" borderId="3" xfId="1" applyNumberFormat="1" applyFont="1" applyFill="1" applyBorder="1"/>
    <xf numFmtId="0" fontId="7" fillId="0" borderId="14" xfId="14" applyBorder="1" applyAlignment="1">
      <alignment horizontal="left" vertical="center" wrapText="1"/>
    </xf>
    <xf numFmtId="10" fontId="17" fillId="0" borderId="4" xfId="2" applyNumberFormat="1" applyFont="1" applyFill="1" applyBorder="1"/>
    <xf numFmtId="0" fontId="17" fillId="0" borderId="5" xfId="0" applyFont="1" applyBorder="1"/>
    <xf numFmtId="0" fontId="7" fillId="0" borderId="0" xfId="19">
      <alignment horizontal="left"/>
    </xf>
    <xf numFmtId="10" fontId="16" fillId="0" borderId="0" xfId="0" applyNumberFormat="1" applyFont="1"/>
    <xf numFmtId="0" fontId="18" fillId="0" borderId="0" xfId="0" applyFont="1"/>
    <xf numFmtId="0" fontId="19" fillId="0" borderId="0" xfId="19" applyFont="1">
      <alignment horizontal="left"/>
    </xf>
    <xf numFmtId="10" fontId="16" fillId="0" borderId="0" xfId="2" applyNumberFormat="1" applyFont="1"/>
    <xf numFmtId="0" fontId="16" fillId="0" borderId="0" xfId="0" applyFont="1" applyAlignment="1">
      <alignment vertical="top" wrapText="1"/>
    </xf>
    <xf numFmtId="10" fontId="7" fillId="0" borderId="19" xfId="2" applyNumberFormat="1" applyFont="1" applyFill="1" applyBorder="1" applyAlignment="1">
      <alignment horizontal="right" vertical="center" wrapText="1"/>
    </xf>
    <xf numFmtId="0" fontId="7" fillId="0" borderId="1" xfId="14" applyBorder="1" applyAlignment="1">
      <alignment horizontal="right" vertical="center" wrapText="1"/>
    </xf>
    <xf numFmtId="10" fontId="7" fillId="0" borderId="19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10" fontId="7" fillId="0" borderId="20" xfId="2" applyNumberFormat="1" applyFont="1" applyFill="1" applyBorder="1" applyAlignment="1">
      <alignment horizontal="right" vertical="center" wrapText="1"/>
    </xf>
    <xf numFmtId="0" fontId="7" fillId="0" borderId="2" xfId="14" applyBorder="1" applyAlignment="1">
      <alignment horizontal="right" vertical="center" wrapText="1"/>
    </xf>
    <xf numFmtId="0" fontId="20" fillId="0" borderId="0" xfId="0" applyFont="1"/>
    <xf numFmtId="0" fontId="21" fillId="0" borderId="0" xfId="0" applyFont="1"/>
    <xf numFmtId="164" fontId="7" fillId="0" borderId="27" xfId="1" applyNumberFormat="1" applyFont="1" applyBorder="1" applyAlignment="1">
      <alignment horizontal="right"/>
    </xf>
    <xf numFmtId="164" fontId="7" fillId="0" borderId="25" xfId="1" applyNumberFormat="1" applyFont="1" applyBorder="1" applyAlignment="1">
      <alignment horizontal="right"/>
    </xf>
    <xf numFmtId="164" fontId="16" fillId="0" borderId="26" xfId="1" applyNumberFormat="1" applyFont="1" applyBorder="1"/>
    <xf numFmtId="164" fontId="16" fillId="0" borderId="2" xfId="1" applyNumberFormat="1" applyFont="1" applyBorder="1"/>
    <xf numFmtId="0" fontId="16" fillId="0" borderId="29" xfId="0" applyFont="1" applyBorder="1"/>
    <xf numFmtId="0" fontId="7" fillId="0" borderId="30" xfId="12" applyBorder="1">
      <alignment horizontal="left" vertical="center" wrapText="1"/>
    </xf>
    <xf numFmtId="0" fontId="16" fillId="0" borderId="6" xfId="0" applyFont="1" applyBorder="1"/>
    <xf numFmtId="10" fontId="16" fillId="0" borderId="24" xfId="2" applyNumberFormat="1" applyFont="1" applyBorder="1"/>
    <xf numFmtId="10" fontId="16" fillId="0" borderId="27" xfId="2" applyNumberFormat="1" applyFont="1" applyBorder="1"/>
    <xf numFmtId="10" fontId="16" fillId="0" borderId="25" xfId="2" applyNumberFormat="1" applyFont="1" applyBorder="1"/>
    <xf numFmtId="10" fontId="16" fillId="0" borderId="20" xfId="2" applyNumberFormat="1" applyFont="1" applyBorder="1"/>
    <xf numFmtId="10" fontId="16" fillId="0" borderId="26" xfId="2" applyNumberFormat="1" applyFont="1" applyBorder="1"/>
    <xf numFmtId="10" fontId="16" fillId="0" borderId="2" xfId="0" applyNumberFormat="1" applyFont="1" applyBorder="1"/>
    <xf numFmtId="10" fontId="16" fillId="0" borderId="2" xfId="2" applyNumberFormat="1" applyFont="1" applyBorder="1"/>
    <xf numFmtId="0" fontId="7" fillId="0" borderId="3" xfId="13" applyBorder="1" applyAlignment="1">
      <alignment horizontal="center" vertical="center" wrapText="1"/>
    </xf>
    <xf numFmtId="0" fontId="7" fillId="0" borderId="31" xfId="13" applyBorder="1" applyAlignment="1">
      <alignment horizontal="center" vertical="center" wrapText="1"/>
    </xf>
    <xf numFmtId="0" fontId="7" fillId="0" borderId="32" xfId="13" applyBorder="1" applyAlignment="1">
      <alignment horizontal="center" vertical="center" wrapText="1"/>
    </xf>
    <xf numFmtId="0" fontId="14" fillId="0" borderId="0" xfId="16" applyFont="1"/>
    <xf numFmtId="0" fontId="14" fillId="0" borderId="24" xfId="16" applyFont="1" applyBorder="1"/>
    <xf numFmtId="3" fontId="14" fillId="0" borderId="27" xfId="16" applyNumberFormat="1" applyFont="1" applyBorder="1" applyAlignment="1" applyProtection="1">
      <alignment horizontal="right"/>
      <protection locked="0"/>
    </xf>
    <xf numFmtId="3" fontId="14" fillId="0" borderId="25" xfId="16" applyNumberFormat="1" applyFont="1" applyBorder="1" applyAlignment="1" applyProtection="1">
      <alignment horizontal="right"/>
      <protection locked="0"/>
    </xf>
    <xf numFmtId="0" fontId="14" fillId="0" borderId="19" xfId="16" applyFont="1" applyBorder="1"/>
    <xf numFmtId="3" fontId="14" fillId="0" borderId="0" xfId="16" applyNumberFormat="1" applyFont="1" applyAlignment="1" applyProtection="1">
      <alignment horizontal="right"/>
      <protection locked="0"/>
    </xf>
    <xf numFmtId="3" fontId="14" fillId="0" borderId="1" xfId="16" applyNumberFormat="1" applyFont="1" applyBorder="1" applyAlignment="1" applyProtection="1">
      <alignment horizontal="right"/>
      <protection locked="0"/>
    </xf>
    <xf numFmtId="0" fontId="23" fillId="0" borderId="20" xfId="16" applyFont="1" applyBorder="1" applyAlignment="1">
      <alignment horizontal="left"/>
    </xf>
    <xf numFmtId="3" fontId="14" fillId="0" borderId="26" xfId="16" applyNumberFormat="1" applyFont="1" applyBorder="1" applyAlignment="1" applyProtection="1">
      <alignment horizontal="right"/>
      <protection locked="0"/>
    </xf>
    <xf numFmtId="3" fontId="14" fillId="0" borderId="2" xfId="16" applyNumberFormat="1" applyFont="1" applyBorder="1" applyAlignment="1" applyProtection="1">
      <alignment horizontal="right"/>
      <protection locked="0"/>
    </xf>
    <xf numFmtId="0" fontId="22" fillId="0" borderId="24" xfId="1" applyNumberFormat="1" applyFont="1" applyBorder="1" applyAlignment="1" applyProtection="1">
      <alignment horizontal="center" vertical="center" wrapText="1"/>
      <protection locked="0"/>
    </xf>
    <xf numFmtId="0" fontId="22" fillId="0" borderId="27" xfId="1" applyNumberFormat="1" applyFont="1" applyBorder="1" applyAlignment="1" applyProtection="1">
      <alignment horizontal="center" vertical="center" wrapText="1"/>
      <protection locked="0"/>
    </xf>
    <xf numFmtId="0" fontId="22" fillId="0" borderId="25" xfId="1" applyNumberFormat="1" applyFont="1" applyBorder="1" applyAlignment="1" applyProtection="1">
      <alignment horizontal="center" vertical="center" wrapText="1"/>
      <protection locked="0"/>
    </xf>
    <xf numFmtId="3" fontId="14" fillId="0" borderId="24" xfId="16" applyNumberFormat="1" applyFont="1" applyBorder="1" applyAlignment="1" applyProtection="1">
      <alignment horizontal="right"/>
      <protection locked="0"/>
    </xf>
    <xf numFmtId="3" fontId="14" fillId="0" borderId="19" xfId="16" applyNumberFormat="1" applyFont="1" applyBorder="1" applyAlignment="1" applyProtection="1">
      <alignment horizontal="right"/>
      <protection locked="0"/>
    </xf>
    <xf numFmtId="3" fontId="14" fillId="0" borderId="20" xfId="16" applyNumberFormat="1" applyFont="1" applyBorder="1" applyAlignment="1" applyProtection="1">
      <alignment horizontal="right"/>
      <protection locked="0"/>
    </xf>
    <xf numFmtId="10" fontId="14" fillId="0" borderId="27" xfId="2" applyNumberFormat="1" applyFont="1" applyBorder="1" applyAlignment="1" applyProtection="1">
      <alignment horizontal="right"/>
      <protection locked="0"/>
    </xf>
    <xf numFmtId="10" fontId="14" fillId="0" borderId="25" xfId="2" applyNumberFormat="1" applyFont="1" applyBorder="1" applyAlignment="1" applyProtection="1">
      <alignment horizontal="right"/>
      <protection locked="0"/>
    </xf>
    <xf numFmtId="10" fontId="14" fillId="0" borderId="26" xfId="2" applyNumberFormat="1" applyFont="1" applyBorder="1" applyAlignment="1" applyProtection="1">
      <alignment horizontal="right"/>
      <protection locked="0"/>
    </xf>
    <xf numFmtId="10" fontId="14" fillId="0" borderId="2" xfId="2" applyNumberFormat="1" applyFont="1" applyBorder="1" applyAlignment="1" applyProtection="1">
      <alignment horizontal="right"/>
      <protection locked="0"/>
    </xf>
    <xf numFmtId="0" fontId="14" fillId="0" borderId="29" xfId="16" applyFont="1" applyBorder="1"/>
    <xf numFmtId="0" fontId="14" fillId="0" borderId="6" xfId="16" applyFont="1" applyBorder="1"/>
    <xf numFmtId="0" fontId="23" fillId="0" borderId="29" xfId="16" applyFont="1" applyBorder="1" applyAlignment="1">
      <alignment horizontal="left"/>
    </xf>
    <xf numFmtId="0" fontId="7" fillId="0" borderId="28" xfId="14" applyBorder="1" applyAlignment="1">
      <alignment horizontal="left" vertical="center" wrapText="1"/>
    </xf>
    <xf numFmtId="0" fontId="7" fillId="0" borderId="9" xfId="0" applyFont="1" applyBorder="1"/>
    <xf numFmtId="0" fontId="8" fillId="0" borderId="9" xfId="0" applyFont="1" applyBorder="1"/>
    <xf numFmtId="0" fontId="8" fillId="0" borderId="9" xfId="14" applyFont="1" applyBorder="1" applyAlignment="1">
      <alignment horizontal="left" vertical="center" wrapText="1"/>
    </xf>
    <xf numFmtId="0" fontId="7" fillId="0" borderId="28" xfId="0" applyFont="1" applyBorder="1"/>
    <xf numFmtId="164" fontId="17" fillId="0" borderId="20" xfId="0" applyNumberFormat="1" applyFont="1" applyBorder="1"/>
    <xf numFmtId="164" fontId="17" fillId="0" borderId="26" xfId="0" applyNumberFormat="1" applyFont="1" applyBorder="1"/>
    <xf numFmtId="164" fontId="17" fillId="0" borderId="2" xfId="0" applyNumberFormat="1" applyFont="1" applyBorder="1"/>
    <xf numFmtId="164" fontId="7" fillId="0" borderId="1" xfId="1" applyNumberFormat="1" applyFont="1" applyFill="1" applyBorder="1" applyAlignment="1">
      <alignment horizontal="right"/>
    </xf>
    <xf numFmtId="0" fontId="7" fillId="0" borderId="0" xfId="0" applyFont="1"/>
    <xf numFmtId="164" fontId="7" fillId="0" borderId="20" xfId="1" applyNumberFormat="1" applyFont="1" applyFill="1" applyBorder="1" applyAlignment="1">
      <alignment horizontal="right"/>
    </xf>
    <xf numFmtId="164" fontId="7" fillId="0" borderId="26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164" fontId="16" fillId="0" borderId="1" xfId="0" applyNumberFormat="1" applyFont="1" applyBorder="1"/>
    <xf numFmtId="164" fontId="16" fillId="0" borderId="20" xfId="0" applyNumberFormat="1" applyFont="1" applyBorder="1"/>
    <xf numFmtId="164" fontId="16" fillId="0" borderId="26" xfId="0" applyNumberFormat="1" applyFont="1" applyBorder="1"/>
    <xf numFmtId="164" fontId="16" fillId="0" borderId="2" xfId="0" applyNumberFormat="1" applyFont="1" applyBorder="1"/>
    <xf numFmtId="0" fontId="24" fillId="0" borderId="0" xfId="0" applyFont="1"/>
    <xf numFmtId="3" fontId="16" fillId="0" borderId="9" xfId="0" applyNumberFormat="1" applyFont="1" applyBorder="1"/>
    <xf numFmtId="0" fontId="16" fillId="0" borderId="9" xfId="0" applyFont="1" applyBorder="1"/>
    <xf numFmtId="0" fontId="16" fillId="0" borderId="8" xfId="0" applyFont="1" applyBorder="1"/>
    <xf numFmtId="10" fontId="7" fillId="0" borderId="21" xfId="15" applyNumberFormat="1" applyBorder="1">
      <alignment horizontal="center" vertical="center" wrapText="1"/>
    </xf>
    <xf numFmtId="10" fontId="11" fillId="0" borderId="19" xfId="0" applyNumberFormat="1" applyFont="1" applyBorder="1"/>
    <xf numFmtId="10" fontId="16" fillId="0" borderId="19" xfId="0" applyNumberFormat="1" applyFont="1" applyBorder="1"/>
    <xf numFmtId="10" fontId="16" fillId="0" borderId="20" xfId="0" applyNumberFormat="1" applyFont="1" applyBorder="1"/>
    <xf numFmtId="0" fontId="16" fillId="0" borderId="30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8" fillId="0" borderId="14" xfId="0" applyFont="1" applyBorder="1"/>
    <xf numFmtId="0" fontId="8" fillId="3" borderId="21" xfId="15" applyFont="1" applyFill="1" applyBorder="1">
      <alignment horizontal="center" vertical="center" wrapText="1"/>
    </xf>
    <xf numFmtId="0" fontId="8" fillId="3" borderId="22" xfId="15" applyFont="1" applyFill="1" applyBorder="1">
      <alignment horizontal="center" vertical="center" wrapText="1"/>
    </xf>
    <xf numFmtId="10" fontId="9" fillId="3" borderId="0" xfId="2" applyNumberFormat="1" applyFont="1" applyFill="1" applyBorder="1" applyAlignment="1">
      <alignment horizontal="right" vertical="center" wrapText="1"/>
    </xf>
    <xf numFmtId="10" fontId="9" fillId="3" borderId="1" xfId="15" applyNumberFormat="1" applyFont="1" applyFill="1" applyBorder="1" applyAlignment="1">
      <alignment horizontal="right" vertical="center" wrapText="1"/>
    </xf>
    <xf numFmtId="10" fontId="16" fillId="3" borderId="1" xfId="0" applyNumberFormat="1" applyFont="1" applyFill="1" applyBorder="1"/>
    <xf numFmtId="10" fontId="16" fillId="3" borderId="19" xfId="2" applyNumberFormat="1" applyFont="1" applyFill="1" applyBorder="1"/>
    <xf numFmtId="10" fontId="16" fillId="3" borderId="1" xfId="2" applyNumberFormat="1" applyFont="1" applyFill="1" applyBorder="1"/>
    <xf numFmtId="10" fontId="16" fillId="3" borderId="20" xfId="2" applyNumberFormat="1" applyFont="1" applyFill="1" applyBorder="1"/>
    <xf numFmtId="10" fontId="16" fillId="3" borderId="2" xfId="2" applyNumberFormat="1" applyFont="1" applyFill="1" applyBorder="1"/>
    <xf numFmtId="0" fontId="8" fillId="2" borderId="22" xfId="15" applyFont="1" applyFill="1" applyBorder="1">
      <alignment horizontal="center" vertical="center" wrapText="1"/>
    </xf>
    <xf numFmtId="10" fontId="9" fillId="2" borderId="1" xfId="15" applyNumberFormat="1" applyFont="1" applyFill="1" applyBorder="1" applyAlignment="1">
      <alignment horizontal="right" vertical="center" wrapText="1"/>
    </xf>
    <xf numFmtId="10" fontId="16" fillId="2" borderId="0" xfId="0" applyNumberFormat="1" applyFont="1" applyFill="1"/>
    <xf numFmtId="10" fontId="16" fillId="2" borderId="1" xfId="0" applyNumberFormat="1" applyFont="1" applyFill="1" applyBorder="1"/>
    <xf numFmtId="10" fontId="16" fillId="2" borderId="1" xfId="2" applyNumberFormat="1" applyFont="1" applyFill="1" applyBorder="1"/>
    <xf numFmtId="10" fontId="16" fillId="2" borderId="26" xfId="0" applyNumberFormat="1" applyFont="1" applyFill="1" applyBorder="1"/>
    <xf numFmtId="10" fontId="16" fillId="2" borderId="2" xfId="2" applyNumberFormat="1" applyFont="1" applyFill="1" applyBorder="1"/>
    <xf numFmtId="0" fontId="11" fillId="0" borderId="24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8" fillId="2" borderId="21" xfId="15" applyFont="1" applyFill="1" applyBorder="1">
      <alignment horizontal="center" vertical="center" wrapText="1"/>
    </xf>
    <xf numFmtId="10" fontId="9" fillId="2" borderId="19" xfId="2" applyNumberFormat="1" applyFont="1" applyFill="1" applyBorder="1" applyAlignment="1">
      <alignment horizontal="right" vertical="center" wrapText="1"/>
    </xf>
    <xf numFmtId="10" fontId="16" fillId="2" borderId="19" xfId="0" applyNumberFormat="1" applyFont="1" applyFill="1" applyBorder="1"/>
    <xf numFmtId="10" fontId="16" fillId="3" borderId="0" xfId="0" applyNumberFormat="1" applyFont="1" applyFill="1"/>
    <xf numFmtId="10" fontId="16" fillId="2" borderId="20" xfId="0" applyNumberFormat="1" applyFont="1" applyFill="1" applyBorder="1"/>
    <xf numFmtId="0" fontId="7" fillId="2" borderId="21" xfId="15" applyFill="1" applyBorder="1">
      <alignment horizontal="center" vertical="center" wrapText="1"/>
    </xf>
    <xf numFmtId="43" fontId="8" fillId="2" borderId="19" xfId="1" applyFont="1" applyFill="1" applyBorder="1" applyAlignment="1">
      <alignment horizontal="center" vertical="center" wrapText="1"/>
    </xf>
    <xf numFmtId="164" fontId="7" fillId="2" borderId="19" xfId="1" applyNumberFormat="1" applyFont="1" applyFill="1" applyBorder="1" applyAlignment="1">
      <alignment horizontal="right"/>
    </xf>
    <xf numFmtId="164" fontId="7" fillId="2" borderId="20" xfId="1" applyNumberFormat="1" applyFont="1" applyFill="1" applyBorder="1" applyAlignment="1">
      <alignment horizontal="right"/>
    </xf>
    <xf numFmtId="0" fontId="7" fillId="2" borderId="9" xfId="15" applyFill="1" applyBorder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164" fontId="7" fillId="2" borderId="12" xfId="1" applyNumberFormat="1" applyFont="1" applyFill="1" applyBorder="1" applyAlignment="1">
      <alignment horizontal="right"/>
    </xf>
    <xf numFmtId="164" fontId="7" fillId="2" borderId="36" xfId="1" applyNumberFormat="1" applyFont="1" applyFill="1" applyBorder="1" applyAlignment="1">
      <alignment horizontal="right"/>
    </xf>
    <xf numFmtId="164" fontId="11" fillId="2" borderId="0" xfId="1" applyNumberFormat="1" applyFont="1" applyFill="1" applyBorder="1" applyAlignment="1">
      <alignment horizontal="right"/>
    </xf>
    <xf numFmtId="0" fontId="7" fillId="2" borderId="37" xfId="15" applyFill="1" applyBorder="1">
      <alignment horizontal="center" vertical="center" wrapText="1"/>
    </xf>
    <xf numFmtId="10" fontId="11" fillId="2" borderId="37" xfId="15" applyNumberFormat="1" applyFont="1" applyFill="1" applyBorder="1" applyAlignment="1">
      <alignment horizontal="right" vertical="center" wrapText="1"/>
    </xf>
    <xf numFmtId="10" fontId="16" fillId="2" borderId="19" xfId="2" applyNumberFormat="1" applyFont="1" applyFill="1" applyBorder="1"/>
    <xf numFmtId="10" fontId="16" fillId="2" borderId="20" xfId="2" applyNumberFormat="1" applyFont="1" applyFill="1" applyBorder="1"/>
    <xf numFmtId="10" fontId="7" fillId="2" borderId="8" xfId="15" applyNumberFormat="1" applyFill="1" applyBorder="1">
      <alignment horizontal="center" vertical="center" wrapText="1"/>
    </xf>
    <xf numFmtId="10" fontId="11" fillId="2" borderId="0" xfId="0" applyNumberFormat="1" applyFont="1" applyFill="1"/>
    <xf numFmtId="43" fontId="8" fillId="2" borderId="1" xfId="1" applyFont="1" applyFill="1" applyBorder="1" applyAlignment="1">
      <alignment horizontal="center" vertical="center" wrapText="1"/>
    </xf>
    <xf numFmtId="10" fontId="17" fillId="2" borderId="19" xfId="0" applyNumberFormat="1" applyFont="1" applyFill="1" applyBorder="1"/>
    <xf numFmtId="10" fontId="17" fillId="2" borderId="1" xfId="0" applyNumberFormat="1" applyFont="1" applyFill="1" applyBorder="1"/>
    <xf numFmtId="10" fontId="17" fillId="2" borderId="14" xfId="0" applyNumberFormat="1" applyFont="1" applyFill="1" applyBorder="1"/>
    <xf numFmtId="10" fontId="17" fillId="2" borderId="15" xfId="0" applyNumberFormat="1" applyFont="1" applyFill="1" applyBorder="1"/>
    <xf numFmtId="0" fontId="7" fillId="3" borderId="7" xfId="15" applyFill="1" applyBorder="1">
      <alignment horizontal="center" vertical="center" wrapText="1"/>
    </xf>
    <xf numFmtId="43" fontId="8" fillId="3" borderId="16" xfId="1" applyFont="1" applyFill="1" applyBorder="1" applyAlignment="1">
      <alignment horizontal="center" vertical="center" wrapText="1"/>
    </xf>
    <xf numFmtId="164" fontId="7" fillId="3" borderId="13" xfId="1" applyNumberFormat="1" applyFont="1" applyFill="1" applyBorder="1" applyAlignment="1">
      <alignment horizontal="right"/>
    </xf>
    <xf numFmtId="164" fontId="7" fillId="3" borderId="35" xfId="1" applyNumberFormat="1" applyFont="1" applyFill="1" applyBorder="1" applyAlignment="1">
      <alignment horizontal="right"/>
    </xf>
    <xf numFmtId="0" fontId="7" fillId="3" borderId="8" xfId="15" applyFill="1" applyBorder="1">
      <alignment horizontal="center" vertical="center" wrapText="1"/>
    </xf>
    <xf numFmtId="164" fontId="11" fillId="3" borderId="0" xfId="1" applyNumberFormat="1" applyFont="1" applyFill="1" applyBorder="1" applyAlignment="1">
      <alignment horizontal="right"/>
    </xf>
    <xf numFmtId="164" fontId="7" fillId="3" borderId="0" xfId="1" applyNumberFormat="1" applyFont="1" applyFill="1" applyBorder="1" applyAlignment="1">
      <alignment horizontal="right"/>
    </xf>
    <xf numFmtId="164" fontId="7" fillId="3" borderId="26" xfId="1" applyNumberFormat="1" applyFont="1" applyFill="1" applyBorder="1" applyAlignment="1">
      <alignment horizontal="right"/>
    </xf>
    <xf numFmtId="0" fontId="7" fillId="3" borderId="22" xfId="15" applyFill="1" applyBorder="1">
      <alignment horizontal="center" vertical="center" wrapText="1"/>
    </xf>
    <xf numFmtId="10" fontId="11" fillId="3" borderId="1" xfId="15" applyNumberFormat="1" applyFont="1" applyFill="1" applyBorder="1" applyAlignment="1">
      <alignment horizontal="right" vertical="center" wrapText="1"/>
    </xf>
    <xf numFmtId="10" fontId="7" fillId="3" borderId="22" xfId="15" applyNumberFormat="1" applyFill="1" applyBorder="1">
      <alignment horizontal="center" vertical="center" wrapText="1"/>
    </xf>
    <xf numFmtId="10" fontId="11" fillId="3" borderId="1" xfId="0" applyNumberFormat="1" applyFont="1" applyFill="1" applyBorder="1"/>
    <xf numFmtId="10" fontId="16" fillId="3" borderId="2" xfId="0" applyNumberFormat="1" applyFont="1" applyFill="1" applyBorder="1"/>
    <xf numFmtId="43" fontId="8" fillId="3" borderId="1" xfId="1" applyFont="1" applyFill="1" applyBorder="1" applyAlignment="1">
      <alignment horizontal="center" vertical="center" wrapText="1"/>
    </xf>
    <xf numFmtId="10" fontId="17" fillId="3" borderId="1" xfId="2" applyNumberFormat="1" applyFont="1" applyFill="1" applyBorder="1"/>
    <xf numFmtId="43" fontId="8" fillId="3" borderId="19" xfId="1" applyFont="1" applyFill="1" applyBorder="1" applyAlignment="1">
      <alignment horizontal="center" vertical="center" wrapText="1"/>
    </xf>
    <xf numFmtId="10" fontId="17" fillId="3" borderId="19" xfId="2" applyNumberFormat="1" applyFont="1" applyFill="1" applyBorder="1"/>
    <xf numFmtId="10" fontId="17" fillId="3" borderId="10" xfId="0" applyNumberFormat="1" applyFont="1" applyFill="1" applyBorder="1"/>
    <xf numFmtId="10" fontId="17" fillId="3" borderId="11" xfId="0" applyNumberFormat="1" applyFont="1" applyFill="1" applyBorder="1"/>
    <xf numFmtId="0" fontId="7" fillId="3" borderId="10" xfId="0" applyFont="1" applyFill="1" applyBorder="1"/>
    <xf numFmtId="0" fontId="7" fillId="2" borderId="14" xfId="0" applyFont="1" applyFill="1" applyBorder="1"/>
    <xf numFmtId="164" fontId="16" fillId="0" borderId="19" xfId="1" applyNumberFormat="1" applyFont="1" applyFill="1" applyBorder="1"/>
    <xf numFmtId="164" fontId="16" fillId="0" borderId="0" xfId="1" applyNumberFormat="1" applyFont="1" applyFill="1" applyBorder="1"/>
    <xf numFmtId="164" fontId="16" fillId="0" borderId="1" xfId="1" applyNumberFormat="1" applyFont="1" applyFill="1" applyBorder="1"/>
    <xf numFmtId="164" fontId="16" fillId="0" borderId="20" xfId="1" applyNumberFormat="1" applyFont="1" applyFill="1" applyBorder="1"/>
    <xf numFmtId="164" fontId="16" fillId="0" borderId="26" xfId="1" applyNumberFormat="1" applyFont="1" applyFill="1" applyBorder="1"/>
    <xf numFmtId="164" fontId="16" fillId="0" borderId="2" xfId="1" applyNumberFormat="1" applyFont="1" applyFill="1" applyBorder="1"/>
    <xf numFmtId="0" fontId="25" fillId="0" borderId="0" xfId="0" applyFont="1"/>
    <xf numFmtId="0" fontId="10" fillId="0" borderId="19" xfId="13" applyFont="1" applyBorder="1" applyAlignment="1">
      <alignment horizontal="center" vertical="center" wrapText="1"/>
    </xf>
    <xf numFmtId="0" fontId="10" fillId="0" borderId="0" xfId="13" applyFont="1" applyAlignment="1">
      <alignment horizontal="center" vertical="center" wrapText="1"/>
    </xf>
    <xf numFmtId="0" fontId="10" fillId="0" borderId="1" xfId="13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1" xfId="14" applyBorder="1" applyAlignment="1">
      <alignment horizontal="left" vertical="center" wrapText="1"/>
    </xf>
    <xf numFmtId="10" fontId="17" fillId="0" borderId="3" xfId="2" applyNumberFormat="1" applyFont="1" applyFill="1" applyBorder="1"/>
    <xf numFmtId="10" fontId="16" fillId="0" borderId="19" xfId="2" quotePrefix="1" applyNumberFormat="1" applyFont="1" applyFill="1" applyBorder="1"/>
    <xf numFmtId="0" fontId="16" fillId="0" borderId="1" xfId="0" quotePrefix="1" applyFont="1" applyBorder="1"/>
    <xf numFmtId="10" fontId="16" fillId="0" borderId="20" xfId="2" quotePrefix="1" applyNumberFormat="1" applyFont="1" applyFill="1" applyBorder="1"/>
    <xf numFmtId="0" fontId="16" fillId="0" borderId="2" xfId="0" quotePrefix="1" applyFont="1" applyBorder="1"/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8" fillId="0" borderId="17" xfId="15" applyFont="1" applyBorder="1" applyAlignment="1">
      <alignment horizontal="center" vertical="center"/>
    </xf>
    <xf numFmtId="0" fontId="8" fillId="0" borderId="23" xfId="15" applyFont="1" applyBorder="1" applyAlignment="1">
      <alignment horizontal="center" vertical="center"/>
    </xf>
    <xf numFmtId="0" fontId="8" fillId="0" borderId="18" xfId="15" applyFont="1" applyBorder="1" applyAlignment="1">
      <alignment horizontal="center" vertical="center"/>
    </xf>
    <xf numFmtId="10" fontId="11" fillId="2" borderId="19" xfId="2" applyNumberFormat="1" applyFont="1" applyFill="1" applyBorder="1" applyAlignment="1">
      <alignment horizontal="right"/>
    </xf>
    <xf numFmtId="10" fontId="11" fillId="2" borderId="1" xfId="2" applyNumberFormat="1" applyFont="1" applyFill="1" applyBorder="1" applyAlignment="1">
      <alignment horizontal="right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0" fontId="11" fillId="3" borderId="20" xfId="2" applyNumberFormat="1" applyFont="1" applyFill="1" applyBorder="1" applyAlignment="1">
      <alignment horizontal="right"/>
    </xf>
    <xf numFmtId="10" fontId="11" fillId="3" borderId="2" xfId="2" applyNumberFormat="1" applyFont="1" applyFill="1" applyBorder="1" applyAlignment="1">
      <alignment horizontal="right"/>
    </xf>
    <xf numFmtId="0" fontId="16" fillId="0" borderId="2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7" fillId="0" borderId="17" xfId="15" applyBorder="1">
      <alignment horizontal="center" vertical="center" wrapText="1"/>
    </xf>
    <xf numFmtId="0" fontId="7" fillId="0" borderId="33" xfId="15" applyBorder="1">
      <alignment horizontal="center" vertical="center" wrapText="1"/>
    </xf>
    <xf numFmtId="0" fontId="7" fillId="0" borderId="34" xfId="15" applyBorder="1">
      <alignment horizontal="center" vertical="center" wrapText="1"/>
    </xf>
    <xf numFmtId="0" fontId="7" fillId="0" borderId="23" xfId="15" applyBorder="1">
      <alignment horizontal="center" vertical="center" wrapText="1"/>
    </xf>
    <xf numFmtId="0" fontId="7" fillId="0" borderId="18" xfId="15" applyBorder="1">
      <alignment horizontal="center" vertical="center" wrapText="1"/>
    </xf>
  </cellXfs>
  <cellStyles count="20">
    <cellStyle name="Komma" xfId="1" builtinId="3"/>
    <cellStyle name="Komma 2" xfId="10" xr:uid="{37A1DBC2-6379-4263-975D-CB1DA879C613}"/>
    <cellStyle name="Prozent" xfId="2" builtinId="5"/>
    <cellStyle name="Prozent 2" xfId="17" xr:uid="{B9EEEF38-D90A-4BCF-82BA-57748406D4F0}"/>
    <cellStyle name="Standard" xfId="0" builtinId="0"/>
    <cellStyle name="Standard 11" xfId="7" xr:uid="{B13325E8-3594-4DFB-AFAD-9F270AA26918}"/>
    <cellStyle name="Standard 13" xfId="8" xr:uid="{14D97B6F-0CD4-4C06-AAC7-489390C459B5}"/>
    <cellStyle name="Standard 2" xfId="3" xr:uid="{A84A4E65-D17F-4CC3-8E33-2497D1CE7519}"/>
    <cellStyle name="Standard 3" xfId="16" xr:uid="{E8C2FA03-33FE-4672-BD99-38546B45F445}"/>
    <cellStyle name="Standard 4" xfId="18" xr:uid="{F2D92814-B540-411F-9C46-8D0A9C36BC29}"/>
    <cellStyle name="Standard 6" xfId="4" xr:uid="{1B59936E-DFF7-43C3-924F-4B0F2C773021}"/>
    <cellStyle name="Standard 7" xfId="5" xr:uid="{EA2E5652-9041-4B8A-B945-2B9AE58933DA}"/>
    <cellStyle name="Standard 8" xfId="11" xr:uid="{61644FDA-7173-4EB2-AD81-C9995E04068F}"/>
    <cellStyle name="Standard 9" xfId="9" xr:uid="{1E3E0578-ACF7-4CC9-B4B1-3DE650C780B2}"/>
    <cellStyle name="Style2" xfId="19" xr:uid="{20AB4B89-DB25-4CB9-B1AA-FA7CDB019A4C}"/>
    <cellStyle name="Style3" xfId="12" xr:uid="{5B76AC6E-DE6D-45EE-AA1F-8AE5E4F5A386}"/>
    <cellStyle name="Style3 4" xfId="14" xr:uid="{A3B4A071-1F59-44C5-9946-83EEB9D5339F}"/>
    <cellStyle name="Style4" xfId="13" xr:uid="{A1F2384E-CC0D-4BC0-95CE-1D344C2F796A}"/>
    <cellStyle name="Style5" xfId="15" xr:uid="{9E875BCB-7FFC-4C32-B8C0-EFB29BBC29D4}"/>
    <cellStyle name="Style7 2" xfId="6" xr:uid="{BDE4628E-EE73-4846-8833-203A8AE9CC56}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bgColor auto="1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4" formatCode="0.00%"/>
      <fill>
        <patternFill patternType="none"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border diagonalUp="0" diagonalDown="0">
        <left style="medium">
          <color indexed="64"/>
        </left>
        <right/>
        <vertical/>
      </border>
    </dxf>
    <dxf>
      <fill>
        <patternFill patternType="none">
          <bgColor auto="1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 diagonalUp="0" diagonalDown="0">
        <left/>
        <right style="medium">
          <color indexed="64"/>
        </right>
        <vertical/>
      </border>
    </dxf>
    <dxf>
      <numFmt numFmtId="14" formatCode="0.00%"/>
      <fill>
        <patternFill patternType="none">
          <bgColor auto="1"/>
        </patternFill>
      </fill>
      <alignment horizontal="right" textRotation="0" indent="0" justifyLastLine="0" shrinkToFit="0" readingOrder="0"/>
      <border diagonalUp="0" diagonalDown="0">
        <left style="medium">
          <color indexed="64"/>
        </left>
        <right/>
        <vertical/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vertical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vertical/>
      </border>
    </dxf>
    <dxf>
      <numFmt numFmtId="14" formatCode="0.00%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  <border diagonalUp="0" diagonalDown="0">
        <left style="medium">
          <color indexed="64"/>
        </left>
        <right/>
        <vertical/>
      </border>
    </dxf>
    <dxf>
      <fill>
        <patternFill patternType="none">
          <fgColor indexed="64"/>
          <bgColor auto="1"/>
        </patternFill>
      </fill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_-* #,##0_-;\-* #,##0_-;_-* &quot;-&quot;??_-;_-@_-"/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vertAlign val="baseline"/>
        <sz val="8"/>
        <name val="Arial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4" formatCode="0.00%"/>
      <fill>
        <patternFill patternType="none">
          <bgColor auto="1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C89800"/>
      <color rgb="FFD7AE00"/>
      <color rgb="FFFFFFFF"/>
      <color rgb="FFF2F2F2"/>
      <color rgb="FFA5A5A5"/>
      <color rgb="FFFFFFCC"/>
      <color rgb="FF4C4D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35F3A3-B2BF-4CD6-B8A4-AF0D7210B984}" name="Tabelle3" displayName="Tabelle3" ref="A27:P121" totalsRowShown="0" headerRowDxfId="72" dataDxfId="71" headerRowCellStyle="Style4" dataCellStyle="Komma">
  <autoFilter ref="A27:P121" xr:uid="{BB35F3A3-B2BF-4CD6-B8A4-AF0D7210B984}"/>
  <sortState xmlns:xlrd2="http://schemas.microsoft.com/office/spreadsheetml/2017/richdata2" ref="A28:P121">
    <sortCondition ref="A27:A121"/>
  </sortState>
  <tableColumns count="16">
    <tableColumn id="1" xr3:uid="{926700C6-112D-4CE8-B3BA-9662410DE2E5}" name="County" dataDxfId="70" dataCellStyle="Style3 4"/>
    <tableColumn id="9" xr3:uid="{DC838472-E4FA-4FF3-A487-40C573DCEBFE}" name="BEV-Anteil" dataDxfId="69" dataCellStyle="Prozent">
      <calculatedColumnFormula>Tabelle3[[#This Row],[BEV BE 06/24]]/Tabelle3[[#This Row],[BE 06/24]]</calculatedColumnFormula>
    </tableColumn>
    <tableColumn id="10" xr3:uid="{11DEC101-E551-4FCA-8140-0402E580BBE1}" name="Kategorie" dataDxfId="68" dataCellStyle="Style3 4">
      <calculatedColumnFormula>IF(B28&lt;$B$20,1,IF(B28&lt;$B$21,2,IF(B28&lt;$B$22,3,4)))</calculatedColumnFormula>
    </tableColumn>
    <tableColumn id="2" xr3:uid="{C7914920-E48A-4118-9EC2-5A2E3E33F63C}" name="Regierungsbezirk" dataDxfId="67"/>
    <tableColumn id="3" xr3:uid="{F015FED1-B4A1-4E70-B953-6B376C09268D}" name="BEV BE 23" dataDxfId="66" dataCellStyle="Komma"/>
    <tableColumn id="7" xr3:uid="{AB687C72-CF23-4BD4-95A8-3BE9474C486C}" name="Benzin-PHEV (HR)" dataDxfId="65" dataCellStyle="Komma"/>
    <tableColumn id="8" xr3:uid="{A5A3070B-A985-45D0-8E11-C2D007749D02}" name="Diesel-PHEV (HR)" dataDxfId="64" dataCellStyle="Komma"/>
    <tableColumn id="6" xr3:uid="{36889609-D95A-4681-92A9-8664046F3C8F}" name="BE 23 GES" dataDxfId="63" dataCellStyle="Komma"/>
    <tableColumn id="12" xr3:uid="{50D0D8C6-536F-4A79-8E29-CD920A22AEF0}" name="BEV NZL" dataDxfId="62" dataCellStyle="Komma"/>
    <tableColumn id="15" xr3:uid="{FF7EF947-D359-4E92-9BAD-26DFE871CC20}" name="Benzin-PHEV" dataDxfId="61" dataCellStyle="Komma"/>
    <tableColumn id="18" xr3:uid="{E5DA6CF5-5473-4E6F-9148-C23A65F27D56}" name="Diesel-PHEV" dataDxfId="60" dataCellStyle="Komma"/>
    <tableColumn id="20" xr3:uid="{9058C4FF-EEEF-42F2-983D-2D4A7B1A1956}" name="NZL GESAMT" dataDxfId="59" dataCellStyle="Komma"/>
    <tableColumn id="21" xr3:uid="{7E842282-97E1-4769-9D44-C6B06314FC82}" name="BEV BE 06/24" dataDxfId="58" dataCellStyle="Komma">
      <calculatedColumnFormula>Tabelle3[[#This Row],[BEV BE 23]]+Tabelle3[[#This Row],[BEV NZL]]</calculatedColumnFormula>
    </tableColumn>
    <tableColumn id="22" xr3:uid="{64716B2B-55AA-496C-9CE1-719A6E64F216}" name="Benzin-PHEV BE 06/24" dataDxfId="57" dataCellStyle="Komma">
      <calculatedColumnFormula>Tabelle3[[#This Row],[Benzin-PHEV (HR)]]+Tabelle3[[#This Row],[Benzin-PHEV]]</calculatedColumnFormula>
    </tableColumn>
    <tableColumn id="23" xr3:uid="{C2902778-4580-4BA5-994C-08DCFE9B4A87}" name="Diesel-PHEV BE 06/24" dataDxfId="56" dataCellStyle="Komma">
      <calculatedColumnFormula>Tabelle3[[#This Row],[Diesel-PHEV (HR)]]+Tabelle3[[#This Row],[Diesel-PHEV]]</calculatedColumnFormula>
    </tableColumn>
    <tableColumn id="24" xr3:uid="{E524C163-71E1-4FD8-8AEB-A4BF61B45634}" name="BE 06/24" dataDxfId="55" dataCellStyle="Komma">
      <calculatedColumnFormula>Tabelle3[[#This Row],[BE 23 GES]]+Tabelle3[[#This Row],[NZL GESAMT]]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220700-C34E-4B98-9811-D68D68E0F289}" name="Tabelle1" displayName="Tabelle1" ref="A126:P130" totalsRowShown="0" headerRowDxfId="54" dataDxfId="53" tableBorderDxfId="52" headerRowCellStyle="Style4" dataCellStyle="Komma">
  <autoFilter ref="A126:P130" xr:uid="{11220700-C34E-4B98-9811-D68D68E0F289}"/>
  <tableColumns count="16">
    <tableColumn id="1" xr3:uid="{0C372D60-E75F-49A5-99AE-2D93931F650F}" name="Meldestelle" dataDxfId="51"/>
    <tableColumn id="2" xr3:uid="{56138C71-6102-48E9-8155-A11AC70D0894}" name="BEV-Anteil" dataDxfId="50" dataCellStyle="Prozent">
      <calculatedColumnFormula>Tabelle1[[#This Row],[BEV BE 06/24]]/Tabelle1[[#This Row],[BE 06/24]]</calculatedColumnFormula>
    </tableColumn>
    <tableColumn id="3" xr3:uid="{CB9F31C7-5964-45D0-9E83-4167F351BB30}" name="Kategorie" dataDxfId="49"/>
    <tableColumn id="4" xr3:uid="{8D943EE2-EBB1-4055-8254-9EB13EB2991E}" name="Regierungsbezirk" dataDxfId="48"/>
    <tableColumn id="5" xr3:uid="{2D74A656-05E7-453F-ACA5-F4275F1DB140}" name="BEV BE 23" dataDxfId="47"/>
    <tableColumn id="7" xr3:uid="{9F780B53-F5D3-42A2-9EDD-D253F225CFEF}" name="Benzin-PHEV (HR)" dataDxfId="46" dataCellStyle="Komma"/>
    <tableColumn id="9" xr3:uid="{0D8F9038-346F-443B-9CB3-476AEB8DACB9}" name="Diesel-PHEV (HR)" dataDxfId="45" dataCellStyle="Komma"/>
    <tableColumn id="10" xr3:uid="{D85DA91C-CE6B-46C5-99EC-059E2A3EFB7A}" name="BE 23 GES" dataDxfId="44"/>
    <tableColumn id="12" xr3:uid="{CE1E044B-DCC9-444D-A55D-D02EC88A45CC}" name="BEV NZL" dataDxfId="43" dataCellStyle="Komma"/>
    <tableColumn id="15" xr3:uid="{1A580750-CD2F-4261-AC73-47BD9413114E}" name="Benzin-PHEV" dataDxfId="42" dataCellStyle="Komma"/>
    <tableColumn id="18" xr3:uid="{2369197B-2B5F-48E6-8064-4E52A73E5113}" name="Diesel-PHEV" dataDxfId="41" dataCellStyle="Komma"/>
    <tableColumn id="20" xr3:uid="{3C50C1C6-6AFB-4D0F-A5B7-5E26A7B73B16}" name="NZL GESAMT" dataDxfId="40" dataCellStyle="Komma"/>
    <tableColumn id="21" xr3:uid="{931C83EC-2C57-41FE-AA2F-9BAD3B869AA1}" name="BEV BE 06/24" dataDxfId="39" dataCellStyle="Komma"/>
    <tableColumn id="22" xr3:uid="{7A774287-E159-4234-AE33-07FB0F9441E0}" name="Benzin-PHEV BE 06/24" dataDxfId="38" dataCellStyle="Komma"/>
    <tableColumn id="23" xr3:uid="{1F8D7B61-8005-4B6C-9B63-CB0DE7F9B798}" name="Diesel-PHEV BE 06/24" dataDxfId="37" dataCellStyle="Komma"/>
    <tableColumn id="24" xr3:uid="{1BC037B1-47F5-406C-A8E1-F4255C1F3B88}" name="BE 06/24" dataDxfId="36" dataCellStyle="Komma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95547E-A159-4B4A-94E7-FEB9A9DBCE1C}" name="Tabelle2" displayName="Tabelle2" ref="A134:P158" totalsRowShown="0" headerRowDxfId="35" dataDxfId="34" headerRowCellStyle="Style4">
  <autoFilter ref="A134:P158" xr:uid="{0495547E-A159-4B4A-94E7-FEB9A9DBCE1C}"/>
  <tableColumns count="16">
    <tableColumn id="1" xr3:uid="{ADA575C4-BFA5-43F6-9AF8-47CEAFE50D4D}" name="Meldestellen WIEN" dataDxfId="33"/>
    <tableColumn id="2" xr3:uid="{B38BFC5B-D9A1-4E0A-B489-E2294A86AEF6}" name="BEV-Anteil" dataDxfId="32" dataCellStyle="Prozent">
      <calculatedColumnFormula>Tabelle2[[#This Row],[BEV BE 06/24]]/Tabelle2[[#This Row],[BE 06/24]]</calculatedColumnFormula>
    </tableColumn>
    <tableColumn id="3" xr3:uid="{3EF63CC2-2238-4CDE-BAE5-68C9A6DD0E35}" name="Kategorie" dataDxfId="31"/>
    <tableColumn id="4" xr3:uid="{64D6AE17-6181-4868-9ADC-602F9FB129B2}" name="Regierungsbezirk" dataDxfId="30"/>
    <tableColumn id="5" xr3:uid="{DA2F74E2-D150-4C58-97EA-108F5C571DE2}" name="BEV BE 23" dataDxfId="29"/>
    <tableColumn id="7" xr3:uid="{895B2C8B-509B-4208-A525-AE3F300C5635}" name="Benzin-PHEV (HR)" dataDxfId="28" dataCellStyle="Komma"/>
    <tableColumn id="9" xr3:uid="{4BE1FABF-A57D-4338-AFB1-132B1D5A585C}" name="Diesel-PHEV (HR)" dataDxfId="27" dataCellStyle="Komma"/>
    <tableColumn id="10" xr3:uid="{27580563-2444-4ADB-B57C-EDC1DF762BE0}" name="BE 23 GES" dataDxfId="26"/>
    <tableColumn id="12" xr3:uid="{1AFF7A3A-4A85-4A04-B7F6-EECED8FD8D8D}" name="BEV NZL" dataDxfId="25" dataCellStyle="Komma"/>
    <tableColumn id="15" xr3:uid="{86D9BBDE-00C0-4D9B-AD38-35443ABBE7C9}" name="Benzin-PHEV" dataDxfId="24" dataCellStyle="Komma"/>
    <tableColumn id="18" xr3:uid="{AF316387-11B1-4369-8650-DB47F1218A3C}" name="Diesel-PHEV" dataDxfId="23" dataCellStyle="Komma"/>
    <tableColumn id="20" xr3:uid="{3608E2B5-269B-4C2C-85E8-4F25527EA3AD}" name="NZL GESAMT" dataDxfId="22" dataCellStyle="Komma"/>
    <tableColumn id="21" xr3:uid="{23D334AC-CE52-44EB-86AC-2CF803F4B2FB}" name="BEV BE 06/24" dataDxfId="21">
      <calculatedColumnFormula>Tabelle2[[#This Row],[BEV BE 23]]+Tabelle2[[#This Row],[BEV NZL]]</calculatedColumnFormula>
    </tableColumn>
    <tableColumn id="22" xr3:uid="{BC6B955D-1374-423D-BAB3-D1F4537D759C}" name="Benzin-PHEV BE 06/24" dataDxfId="20">
      <calculatedColumnFormula>Tabelle2[[#This Row],[Benzin-PHEV (HR)]]+Tabelle2[[#This Row],[Benzin-PHEV]]</calculatedColumnFormula>
    </tableColumn>
    <tableColumn id="23" xr3:uid="{F0A0E3B4-5BCE-4585-B657-07E0BA521067}" name="Diesel-PHEV BE 06/24" dataDxfId="19">
      <calculatedColumnFormula>Tabelle2[[#This Row],[Diesel-PHEV (HR)]]+Tabelle2[[#This Row],[Diesel-PHEV]]</calculatedColumnFormula>
    </tableColumn>
    <tableColumn id="24" xr3:uid="{ED52B5CB-5DB5-4C3C-85B8-C6E555AA93F7}" name="BE 06/24" dataDxfId="18">
      <calculatedColumnFormula>Tabelle2[[#This Row],[BE 23 GES]]+Tabelle2[[#This Row],[NZL GESAMT]]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5F79BA-0A0A-4A51-9AFA-D8D8D9501D04}" name="Tabelle5" displayName="Tabelle5" ref="A162:P170" totalsRowShown="0" headerRowDxfId="17" dataDxfId="16" headerRowCellStyle="Style4">
  <autoFilter ref="A162:P170" xr:uid="{F15F79BA-0A0A-4A51-9AFA-D8D8D9501D04}"/>
  <tableColumns count="16">
    <tableColumn id="1" xr3:uid="{6D6AE37F-B8E2-41E0-9EF8-DF44F57729C6}" name="Meldestellen" dataDxfId="15"/>
    <tableColumn id="2" xr3:uid="{5C7B0110-7FEF-4E3B-BC47-DB09E6691B3B}" name="BEV-Anteil" dataDxfId="14" dataCellStyle="Prozent">
      <calculatedColumnFormula>Tabelle5[[#This Row],[BEV BE 06/24]]/Tabelle5[[#This Row],[BE 06/24]]</calculatedColumnFormula>
    </tableColumn>
    <tableColumn id="3" xr3:uid="{861849DB-0BD1-4EB6-B4D6-A41DD1ABAAF9}" name="Kategorie" dataDxfId="13"/>
    <tableColumn id="4" xr3:uid="{B288EB48-B9A0-4C1D-8903-5A342447BB47}" name="Regierungsbezirk" dataDxfId="12"/>
    <tableColumn id="5" xr3:uid="{0632A0BE-A2A3-4498-992F-9D6F4065A5B9}" name="BEV BE 23" dataDxfId="11" dataCellStyle="Komma"/>
    <tableColumn id="7" xr3:uid="{9816A5A7-87DD-43E8-A71C-9B1033AB04A7}" name="Benzin-PHEV (HR)" dataDxfId="10" dataCellStyle="Komma"/>
    <tableColumn id="9" xr3:uid="{EB1530A8-2A96-475C-AF4A-E24736EC6C35}" name="Diesel-PHEV (HR)" dataDxfId="9" dataCellStyle="Komma"/>
    <tableColumn id="10" xr3:uid="{7AC782E6-EB2F-435A-A296-62CA291FB5D9}" name="BE 23 GES" dataDxfId="8" dataCellStyle="Komma"/>
    <tableColumn id="12" xr3:uid="{EA2C510E-D936-43EB-B131-8FBE625DA950}" name="BEV NZL" dataDxfId="7" dataCellStyle="Komma"/>
    <tableColumn id="15" xr3:uid="{E06DC775-BB97-47C1-B0F3-885F62364FD5}" name="Benzin-PHEV" dataDxfId="6" dataCellStyle="Komma"/>
    <tableColumn id="18" xr3:uid="{EBEAC070-603C-49BB-BC1D-785940FFA817}" name="Diesel-PHEV" dataDxfId="5" dataCellStyle="Komma"/>
    <tableColumn id="20" xr3:uid="{B518AE92-97FE-4D34-B8D8-EC39AFD576FF}" name="NZL GESAMT" dataDxfId="4" dataCellStyle="Komma"/>
    <tableColumn id="21" xr3:uid="{15DFF21A-CAB9-4B8B-9233-CD96337B548D}" name="BEV BE 06/24" dataDxfId="3">
      <calculatedColumnFormula>Tabelle5[[#This Row],[BEV BE 23]]+Tabelle5[[#This Row],[BEV NZL]]</calculatedColumnFormula>
    </tableColumn>
    <tableColumn id="22" xr3:uid="{18055370-A8D9-4D94-BB1D-13FA04396490}" name="Benzin-PHEV BE 06/24" dataDxfId="2">
      <calculatedColumnFormula>Tabelle5[[#This Row],[Benzin-PHEV (HR)]]+Tabelle5[[#This Row],[Benzin-PHEV]]</calculatedColumnFormula>
    </tableColumn>
    <tableColumn id="23" xr3:uid="{0D65199B-9D88-40F0-8D7D-C8BC05A5EDE7}" name="Diesel-PHEV BE 06/24" dataDxfId="1">
      <calculatedColumnFormula>Tabelle5[[#This Row],[Diesel-PHEV (HR)]]+Tabelle5[[#This Row],[Diesel-PHEV]]</calculatedColumnFormula>
    </tableColumn>
    <tableColumn id="24" xr3:uid="{24998477-98F3-497F-B68D-F42BF53AE530}" name="BE 06/24" dataDxfId="0">
      <calculatedColumnFormula>Tabelle5[[#This Row],[BE 23 GES]]+Tabelle5[[#This Row],[NZL GESAMT]]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4EF0-810D-4C03-AA7F-3D51E42BED58}">
  <sheetPr>
    <tabColor rgb="FFC89800"/>
  </sheetPr>
  <dimension ref="A1:K19"/>
  <sheetViews>
    <sheetView workbookViewId="0">
      <selection activeCell="B18" sqref="B18"/>
    </sheetView>
  </sheetViews>
  <sheetFormatPr baseColWidth="10" defaultRowHeight="14.4" x14ac:dyDescent="0.3"/>
  <cols>
    <col min="1" max="1" width="30.77734375" customWidth="1"/>
    <col min="2" max="11" width="12.77734375" customWidth="1"/>
  </cols>
  <sheetData>
    <row r="1" spans="1:11" ht="23.4" x14ac:dyDescent="0.45">
      <c r="A1" s="45" t="s">
        <v>203</v>
      </c>
    </row>
    <row r="2" spans="1:11" ht="18" x14ac:dyDescent="0.35">
      <c r="A2" s="44" t="s">
        <v>212</v>
      </c>
    </row>
    <row r="3" spans="1:11" ht="18" x14ac:dyDescent="0.35">
      <c r="A3" s="44"/>
    </row>
    <row r="4" spans="1:11" x14ac:dyDescent="0.3">
      <c r="A4" s="32" t="s">
        <v>202</v>
      </c>
    </row>
    <row r="5" spans="1:11" x14ac:dyDescent="0.3">
      <c r="A5" s="32" t="s">
        <v>201</v>
      </c>
    </row>
    <row r="6" spans="1:11" ht="15" thickBot="1" x14ac:dyDescent="0.35"/>
    <row r="7" spans="1:11" ht="21" thickBot="1" x14ac:dyDescent="0.35">
      <c r="A7" s="8" t="s">
        <v>214</v>
      </c>
      <c r="B7" s="60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1" t="s">
        <v>121</v>
      </c>
      <c r="I7" s="61" t="s">
        <v>143</v>
      </c>
      <c r="J7" s="61" t="s">
        <v>109</v>
      </c>
      <c r="K7" s="62" t="s">
        <v>146</v>
      </c>
    </row>
    <row r="8" spans="1:11" x14ac:dyDescent="0.3">
      <c r="A8" s="50" t="s">
        <v>205</v>
      </c>
      <c r="B8" s="46">
        <v>2526</v>
      </c>
      <c r="C8" s="46">
        <v>4438</v>
      </c>
      <c r="D8" s="46">
        <v>16410</v>
      </c>
      <c r="E8" s="46">
        <v>19718</v>
      </c>
      <c r="F8" s="46">
        <v>9276</v>
      </c>
      <c r="G8" s="46">
        <v>12410</v>
      </c>
      <c r="H8" s="46">
        <v>9581</v>
      </c>
      <c r="I8" s="46">
        <v>5771</v>
      </c>
      <c r="J8" s="46">
        <v>22982</v>
      </c>
      <c r="K8" s="47">
        <v>103112</v>
      </c>
    </row>
    <row r="9" spans="1:11" x14ac:dyDescent="0.3">
      <c r="A9" s="51" t="s">
        <v>206</v>
      </c>
      <c r="B9" s="12">
        <v>2198</v>
      </c>
      <c r="C9" s="12">
        <v>3206</v>
      </c>
      <c r="D9" s="12">
        <v>13663</v>
      </c>
      <c r="E9" s="12">
        <v>10573</v>
      </c>
      <c r="F9" s="12">
        <v>2944</v>
      </c>
      <c r="G9" s="12">
        <v>7387</v>
      </c>
      <c r="H9" s="12">
        <v>4581</v>
      </c>
      <c r="I9" s="12">
        <v>3063</v>
      </c>
      <c r="J9" s="12">
        <v>4763</v>
      </c>
      <c r="K9" s="18">
        <v>52378</v>
      </c>
    </row>
    <row r="10" spans="1:11" ht="15" thickBot="1" x14ac:dyDescent="0.35">
      <c r="A10" s="52" t="s">
        <v>144</v>
      </c>
      <c r="B10" s="48">
        <f>B8+B9</f>
        <v>4724</v>
      </c>
      <c r="C10" s="48">
        <f t="shared" ref="C10:K10" si="0">C8+C9</f>
        <v>7644</v>
      </c>
      <c r="D10" s="48">
        <f t="shared" si="0"/>
        <v>30073</v>
      </c>
      <c r="E10" s="48">
        <f t="shared" si="0"/>
        <v>30291</v>
      </c>
      <c r="F10" s="48">
        <f t="shared" si="0"/>
        <v>12220</v>
      </c>
      <c r="G10" s="48">
        <f t="shared" si="0"/>
        <v>19797</v>
      </c>
      <c r="H10" s="48">
        <f t="shared" si="0"/>
        <v>14162</v>
      </c>
      <c r="I10" s="48">
        <f t="shared" si="0"/>
        <v>8834</v>
      </c>
      <c r="J10" s="48">
        <f t="shared" si="0"/>
        <v>27745</v>
      </c>
      <c r="K10" s="49">
        <f t="shared" si="0"/>
        <v>155490</v>
      </c>
    </row>
    <row r="11" spans="1:11" x14ac:dyDescent="0.3">
      <c r="A11" s="50" t="s">
        <v>207</v>
      </c>
      <c r="B11" s="46">
        <v>23290</v>
      </c>
      <c r="C11" s="46">
        <v>44802</v>
      </c>
      <c r="D11" s="46">
        <v>154084</v>
      </c>
      <c r="E11" s="46">
        <v>142731</v>
      </c>
      <c r="F11" s="46">
        <v>60413</v>
      </c>
      <c r="G11" s="46">
        <v>100418</v>
      </c>
      <c r="H11" s="46">
        <v>63794</v>
      </c>
      <c r="I11" s="46">
        <v>30179</v>
      </c>
      <c r="J11" s="46">
        <v>157977</v>
      </c>
      <c r="K11" s="47">
        <v>777688</v>
      </c>
    </row>
    <row r="12" spans="1:11" x14ac:dyDescent="0.3">
      <c r="A12" s="51" t="s">
        <v>208</v>
      </c>
      <c r="B12" s="12">
        <v>182910</v>
      </c>
      <c r="C12" s="12">
        <v>329242</v>
      </c>
      <c r="D12" s="12">
        <v>978131</v>
      </c>
      <c r="E12" s="12">
        <v>837611</v>
      </c>
      <c r="F12" s="12">
        <v>264714</v>
      </c>
      <c r="G12" s="12">
        <v>688871</v>
      </c>
      <c r="H12" s="12">
        <v>361525</v>
      </c>
      <c r="I12" s="12">
        <v>191344</v>
      </c>
      <c r="J12" s="12">
        <v>572970</v>
      </c>
      <c r="K12" s="18">
        <v>4407318</v>
      </c>
    </row>
    <row r="13" spans="1:11" ht="15" thickBot="1" x14ac:dyDescent="0.35">
      <c r="A13" s="52" t="s">
        <v>145</v>
      </c>
      <c r="B13" s="48">
        <f>B11+B12</f>
        <v>206200</v>
      </c>
      <c r="C13" s="48">
        <f t="shared" ref="C13:K13" si="1">C11+C12</f>
        <v>374044</v>
      </c>
      <c r="D13" s="48">
        <f t="shared" si="1"/>
        <v>1132215</v>
      </c>
      <c r="E13" s="48">
        <f t="shared" si="1"/>
        <v>980342</v>
      </c>
      <c r="F13" s="48">
        <f t="shared" si="1"/>
        <v>325127</v>
      </c>
      <c r="G13" s="48">
        <f t="shared" si="1"/>
        <v>789289</v>
      </c>
      <c r="H13" s="48">
        <f t="shared" si="1"/>
        <v>425319</v>
      </c>
      <c r="I13" s="48">
        <f t="shared" si="1"/>
        <v>221523</v>
      </c>
      <c r="J13" s="48">
        <f t="shared" si="1"/>
        <v>730947</v>
      </c>
      <c r="K13" s="49">
        <f t="shared" si="1"/>
        <v>5185006</v>
      </c>
    </row>
    <row r="14" spans="1:11" ht="15" thickBot="1" x14ac:dyDescent="0.35"/>
    <row r="15" spans="1:11" ht="21" thickBot="1" x14ac:dyDescent="0.35">
      <c r="A15" s="8" t="s">
        <v>209</v>
      </c>
      <c r="B15" s="60" t="s">
        <v>137</v>
      </c>
      <c r="C15" s="61" t="s">
        <v>138</v>
      </c>
      <c r="D15" s="61" t="s">
        <v>139</v>
      </c>
      <c r="E15" s="61" t="s">
        <v>140</v>
      </c>
      <c r="F15" s="61" t="s">
        <v>141</v>
      </c>
      <c r="G15" s="61" t="s">
        <v>142</v>
      </c>
      <c r="H15" s="61" t="s">
        <v>121</v>
      </c>
      <c r="I15" s="61" t="s">
        <v>143</v>
      </c>
      <c r="J15" s="61" t="s">
        <v>109</v>
      </c>
      <c r="K15" s="62" t="s">
        <v>146</v>
      </c>
    </row>
    <row r="16" spans="1:11" x14ac:dyDescent="0.3">
      <c r="A16" s="50" t="s">
        <v>210</v>
      </c>
      <c r="B16" s="53">
        <f t="shared" ref="B16:K16" si="2">B9/B10</f>
        <v>0.46528365791701948</v>
      </c>
      <c r="C16" s="54">
        <f t="shared" si="2"/>
        <v>0.41941391941391942</v>
      </c>
      <c r="D16" s="54">
        <f t="shared" si="2"/>
        <v>0.45432780234762077</v>
      </c>
      <c r="E16" s="54">
        <f t="shared" si="2"/>
        <v>0.34904757188603874</v>
      </c>
      <c r="F16" s="54">
        <f t="shared" si="2"/>
        <v>0.2409165302782324</v>
      </c>
      <c r="G16" s="54">
        <f t="shared" si="2"/>
        <v>0.37313734404202659</v>
      </c>
      <c r="H16" s="54">
        <f t="shared" si="2"/>
        <v>0.32347126112131053</v>
      </c>
      <c r="I16" s="54">
        <f t="shared" si="2"/>
        <v>0.34672854878877069</v>
      </c>
      <c r="J16" s="54">
        <f t="shared" si="2"/>
        <v>0.17167057127410343</v>
      </c>
      <c r="K16" s="55">
        <f t="shared" si="2"/>
        <v>0.33685767573477393</v>
      </c>
    </row>
    <row r="17" spans="1:11" ht="15" thickBot="1" x14ac:dyDescent="0.35">
      <c r="A17" s="52" t="s">
        <v>211</v>
      </c>
      <c r="B17" s="56">
        <f t="shared" ref="B17:K17" si="3">B12/B13</f>
        <v>0.88705140640155189</v>
      </c>
      <c r="C17" s="57">
        <f t="shared" si="3"/>
        <v>0.88022264760295577</v>
      </c>
      <c r="D17" s="57">
        <f t="shared" si="3"/>
        <v>0.86390923985285484</v>
      </c>
      <c r="E17" s="57">
        <f t="shared" si="3"/>
        <v>0.85440693145861346</v>
      </c>
      <c r="F17" s="57">
        <f t="shared" si="3"/>
        <v>0.81418645636935716</v>
      </c>
      <c r="G17" s="57">
        <f t="shared" si="3"/>
        <v>0.87277410428879665</v>
      </c>
      <c r="H17" s="57">
        <f t="shared" si="3"/>
        <v>0.85000905202918275</v>
      </c>
      <c r="I17" s="57">
        <f t="shared" si="3"/>
        <v>0.86376583921308392</v>
      </c>
      <c r="J17" s="57">
        <f t="shared" si="3"/>
        <v>0.78387352297772617</v>
      </c>
      <c r="K17" s="59">
        <f t="shared" si="3"/>
        <v>0.85001213113350305</v>
      </c>
    </row>
    <row r="18" spans="1:11" x14ac:dyDescent="0.3">
      <c r="A18" s="50" t="s">
        <v>242</v>
      </c>
      <c r="B18" s="53">
        <v>0.3639</v>
      </c>
      <c r="C18" s="54">
        <v>0.36059999999999998</v>
      </c>
      <c r="D18" s="54">
        <v>0.37069999999999997</v>
      </c>
      <c r="E18" s="54">
        <v>0.2702</v>
      </c>
      <c r="F18" s="54">
        <v>0.14369999999999999</v>
      </c>
      <c r="G18" s="54">
        <v>0.27250000000000002</v>
      </c>
      <c r="H18" s="54">
        <v>0.27889999999999998</v>
      </c>
      <c r="I18" s="54">
        <v>0.25850000000000001</v>
      </c>
      <c r="J18" s="54">
        <v>0.11550000000000001</v>
      </c>
      <c r="K18" s="55">
        <v>0.2475</v>
      </c>
    </row>
    <row r="19" spans="1:11" ht="15" thickBot="1" x14ac:dyDescent="0.35">
      <c r="A19" s="52" t="s">
        <v>243</v>
      </c>
      <c r="B19" s="56">
        <v>0.40239999999999998</v>
      </c>
      <c r="C19" s="57">
        <v>0.4199</v>
      </c>
      <c r="D19" s="57">
        <v>0.37419999999999998</v>
      </c>
      <c r="E19" s="57">
        <v>0.3296</v>
      </c>
      <c r="F19" s="57">
        <v>0.27200000000000002</v>
      </c>
      <c r="G19" s="57">
        <v>0.32669999999999999</v>
      </c>
      <c r="H19" s="57">
        <v>0.36749999999999999</v>
      </c>
      <c r="I19" s="57">
        <v>0.34870000000000001</v>
      </c>
      <c r="J19" s="57">
        <v>0.1724</v>
      </c>
      <c r="K19" s="58">
        <v>0.31010000000000004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EC99-0A77-4748-A31B-1D35EEFE7F04}">
  <sheetPr>
    <tabColor rgb="FFC89800"/>
  </sheetPr>
  <dimension ref="A1:Q19"/>
  <sheetViews>
    <sheetView workbookViewId="0">
      <selection activeCell="M16" sqref="M16"/>
    </sheetView>
  </sheetViews>
  <sheetFormatPr baseColWidth="10" defaultRowHeight="14.4" x14ac:dyDescent="0.3"/>
  <cols>
    <col min="1" max="1" width="30.77734375" customWidth="1"/>
    <col min="2" max="11" width="12.77734375" customWidth="1"/>
  </cols>
  <sheetData>
    <row r="1" spans="1:17" ht="23.4" x14ac:dyDescent="0.45">
      <c r="A1" s="45" t="s">
        <v>203</v>
      </c>
    </row>
    <row r="2" spans="1:17" ht="18" x14ac:dyDescent="0.35">
      <c r="A2" s="44" t="s">
        <v>204</v>
      </c>
    </row>
    <row r="3" spans="1:17" ht="18" x14ac:dyDescent="0.35">
      <c r="A3" s="1"/>
    </row>
    <row r="4" spans="1:17" x14ac:dyDescent="0.3">
      <c r="A4" s="32" t="s">
        <v>202</v>
      </c>
    </row>
    <row r="5" spans="1:17" x14ac:dyDescent="0.3">
      <c r="A5" s="32" t="s">
        <v>201</v>
      </c>
    </row>
    <row r="6" spans="1:17" ht="15" thickBot="1" x14ac:dyDescent="0.35">
      <c r="A6" s="32"/>
    </row>
    <row r="7" spans="1:17" ht="21" thickBot="1" x14ac:dyDescent="0.35">
      <c r="A7" s="8" t="s">
        <v>213</v>
      </c>
      <c r="B7" s="60" t="s">
        <v>137</v>
      </c>
      <c r="C7" s="61" t="s">
        <v>138</v>
      </c>
      <c r="D7" s="61" t="s">
        <v>139</v>
      </c>
      <c r="E7" s="61" t="s">
        <v>140</v>
      </c>
      <c r="F7" s="61" t="s">
        <v>141</v>
      </c>
      <c r="G7" s="61" t="s">
        <v>142</v>
      </c>
      <c r="H7" s="61" t="s">
        <v>121</v>
      </c>
      <c r="I7" s="61" t="s">
        <v>143</v>
      </c>
      <c r="J7" s="61" t="s">
        <v>109</v>
      </c>
      <c r="K7" s="62" t="s">
        <v>146</v>
      </c>
    </row>
    <row r="8" spans="1:17" x14ac:dyDescent="0.3">
      <c r="A8" s="50" t="s">
        <v>205</v>
      </c>
      <c r="B8" s="46">
        <v>195</v>
      </c>
      <c r="C8" s="46">
        <v>289</v>
      </c>
      <c r="D8" s="46">
        <v>1464</v>
      </c>
      <c r="E8" s="46">
        <v>1004</v>
      </c>
      <c r="F8" s="46">
        <v>826</v>
      </c>
      <c r="G8" s="46">
        <v>930</v>
      </c>
      <c r="H8" s="46">
        <v>948</v>
      </c>
      <c r="I8" s="46">
        <v>431</v>
      </c>
      <c r="J8" s="46">
        <v>4074</v>
      </c>
      <c r="K8" s="47">
        <v>10161</v>
      </c>
    </row>
    <row r="9" spans="1:17" x14ac:dyDescent="0.3">
      <c r="A9" s="51" t="s">
        <v>206</v>
      </c>
      <c r="B9" s="12">
        <v>23</v>
      </c>
      <c r="C9" s="12">
        <v>29</v>
      </c>
      <c r="D9" s="12">
        <v>117</v>
      </c>
      <c r="E9" s="12">
        <v>79</v>
      </c>
      <c r="F9" s="12">
        <v>21</v>
      </c>
      <c r="G9" s="12">
        <v>57</v>
      </c>
      <c r="H9" s="12">
        <v>58</v>
      </c>
      <c r="I9" s="12">
        <v>23</v>
      </c>
      <c r="J9" s="12">
        <v>16</v>
      </c>
      <c r="K9" s="18">
        <v>423</v>
      </c>
    </row>
    <row r="10" spans="1:17" ht="15" thickBot="1" x14ac:dyDescent="0.35">
      <c r="A10" s="52" t="s">
        <v>144</v>
      </c>
      <c r="B10" s="48">
        <f t="shared" ref="B10:K10" si="0">B8+B9</f>
        <v>218</v>
      </c>
      <c r="C10" s="48">
        <f t="shared" si="0"/>
        <v>318</v>
      </c>
      <c r="D10" s="48">
        <f t="shared" si="0"/>
        <v>1581</v>
      </c>
      <c r="E10" s="48">
        <f t="shared" si="0"/>
        <v>1083</v>
      </c>
      <c r="F10" s="48">
        <f t="shared" si="0"/>
        <v>847</v>
      </c>
      <c r="G10" s="48">
        <f t="shared" si="0"/>
        <v>987</v>
      </c>
      <c r="H10" s="48">
        <f t="shared" si="0"/>
        <v>1006</v>
      </c>
      <c r="I10" s="48">
        <f t="shared" si="0"/>
        <v>454</v>
      </c>
      <c r="J10" s="48">
        <f t="shared" si="0"/>
        <v>4090</v>
      </c>
      <c r="K10" s="49">
        <f t="shared" si="0"/>
        <v>10584</v>
      </c>
    </row>
    <row r="11" spans="1:17" x14ac:dyDescent="0.3">
      <c r="A11" s="50" t="s">
        <v>207</v>
      </c>
      <c r="B11" s="46">
        <v>13091</v>
      </c>
      <c r="C11" s="46">
        <v>22350</v>
      </c>
      <c r="D11" s="46">
        <v>73138</v>
      </c>
      <c r="E11" s="46">
        <v>64526</v>
      </c>
      <c r="F11" s="46">
        <v>26342</v>
      </c>
      <c r="G11" s="46">
        <v>51231</v>
      </c>
      <c r="H11" s="46">
        <v>34017</v>
      </c>
      <c r="I11" s="46">
        <v>14408</v>
      </c>
      <c r="J11" s="46">
        <v>62932</v>
      </c>
      <c r="K11" s="47">
        <v>362035</v>
      </c>
    </row>
    <row r="12" spans="1:17" x14ac:dyDescent="0.3">
      <c r="A12" s="51" t="s">
        <v>208</v>
      </c>
      <c r="B12" s="12">
        <v>7926</v>
      </c>
      <c r="C12" s="12">
        <v>11192</v>
      </c>
      <c r="D12" s="12">
        <v>36542</v>
      </c>
      <c r="E12" s="12">
        <v>26336</v>
      </c>
      <c r="F12" s="12">
        <v>8630</v>
      </c>
      <c r="G12" s="12">
        <v>24111</v>
      </c>
      <c r="H12" s="12">
        <v>13829</v>
      </c>
      <c r="I12" s="12">
        <v>5737</v>
      </c>
      <c r="J12" s="12">
        <v>11658</v>
      </c>
      <c r="K12" s="18">
        <v>145961</v>
      </c>
    </row>
    <row r="13" spans="1:17" ht="15" thickBot="1" x14ac:dyDescent="0.35">
      <c r="A13" s="52" t="s">
        <v>145</v>
      </c>
      <c r="B13" s="48">
        <f t="shared" ref="B13:K13" si="1">B11+B12</f>
        <v>21017</v>
      </c>
      <c r="C13" s="48">
        <f t="shared" si="1"/>
        <v>33542</v>
      </c>
      <c r="D13" s="48">
        <f t="shared" si="1"/>
        <v>109680</v>
      </c>
      <c r="E13" s="48">
        <f t="shared" si="1"/>
        <v>90862</v>
      </c>
      <c r="F13" s="48">
        <f t="shared" si="1"/>
        <v>34972</v>
      </c>
      <c r="G13" s="48">
        <f t="shared" si="1"/>
        <v>75342</v>
      </c>
      <c r="H13" s="48">
        <f t="shared" si="1"/>
        <v>47846</v>
      </c>
      <c r="I13" s="48">
        <f t="shared" si="1"/>
        <v>20145</v>
      </c>
      <c r="J13" s="48">
        <f t="shared" si="1"/>
        <v>74590</v>
      </c>
      <c r="K13" s="49">
        <f t="shared" si="1"/>
        <v>507996</v>
      </c>
    </row>
    <row r="14" spans="1:17" ht="15" thickBo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O14" s="4"/>
    </row>
    <row r="15" spans="1:17" ht="21" thickBot="1" x14ac:dyDescent="0.35">
      <c r="A15" s="8" t="s">
        <v>209</v>
      </c>
      <c r="B15" s="60" t="s">
        <v>137</v>
      </c>
      <c r="C15" s="61" t="s">
        <v>138</v>
      </c>
      <c r="D15" s="61" t="s">
        <v>139</v>
      </c>
      <c r="E15" s="61" t="s">
        <v>140</v>
      </c>
      <c r="F15" s="61" t="s">
        <v>141</v>
      </c>
      <c r="G15" s="61" t="s">
        <v>142</v>
      </c>
      <c r="H15" s="61" t="s">
        <v>121</v>
      </c>
      <c r="I15" s="61" t="s">
        <v>143</v>
      </c>
      <c r="J15" s="61" t="s">
        <v>109</v>
      </c>
      <c r="K15" s="62" t="s">
        <v>146</v>
      </c>
      <c r="O15" s="4"/>
      <c r="Q15" s="4"/>
    </row>
    <row r="16" spans="1:17" x14ac:dyDescent="0.3">
      <c r="A16" s="50" t="s">
        <v>215</v>
      </c>
      <c r="B16" s="53">
        <f t="shared" ref="B16:K16" si="2">B9/B10</f>
        <v>0.10550458715596331</v>
      </c>
      <c r="C16" s="54">
        <f t="shared" si="2"/>
        <v>9.1194968553459113E-2</v>
      </c>
      <c r="D16" s="54">
        <f t="shared" si="2"/>
        <v>7.4003795066413663E-2</v>
      </c>
      <c r="E16" s="54">
        <f t="shared" si="2"/>
        <v>7.29455216989843E-2</v>
      </c>
      <c r="F16" s="54">
        <f t="shared" si="2"/>
        <v>2.4793388429752067E-2</v>
      </c>
      <c r="G16" s="54">
        <f t="shared" si="2"/>
        <v>5.7750759878419454E-2</v>
      </c>
      <c r="H16" s="54">
        <f t="shared" si="2"/>
        <v>5.7654075546719682E-2</v>
      </c>
      <c r="I16" s="54">
        <f t="shared" si="2"/>
        <v>5.0660792951541848E-2</v>
      </c>
      <c r="J16" s="54">
        <f t="shared" si="2"/>
        <v>3.9119804400977991E-3</v>
      </c>
      <c r="K16" s="55">
        <f t="shared" si="2"/>
        <v>3.9965986394557826E-2</v>
      </c>
      <c r="O16" s="4"/>
    </row>
    <row r="17" spans="1:17" ht="15" thickBot="1" x14ac:dyDescent="0.35">
      <c r="A17" s="52" t="s">
        <v>216</v>
      </c>
      <c r="B17" s="56">
        <f t="shared" ref="B17:K17" si="3">B12/B13</f>
        <v>0.37712328115335203</v>
      </c>
      <c r="C17" s="57">
        <f t="shared" si="3"/>
        <v>0.33367121817422934</v>
      </c>
      <c r="D17" s="57">
        <f t="shared" si="3"/>
        <v>0.33316921954777534</v>
      </c>
      <c r="E17" s="57">
        <f t="shared" si="3"/>
        <v>0.28984614030067574</v>
      </c>
      <c r="F17" s="57">
        <f t="shared" si="3"/>
        <v>0.24676884364634566</v>
      </c>
      <c r="G17" s="57">
        <f t="shared" si="3"/>
        <v>0.32002070558254359</v>
      </c>
      <c r="H17" s="57">
        <f t="shared" si="3"/>
        <v>0.28903147598545331</v>
      </c>
      <c r="I17" s="57">
        <f t="shared" si="3"/>
        <v>0.28478530652767436</v>
      </c>
      <c r="J17" s="57">
        <f t="shared" si="3"/>
        <v>0.1562944094382625</v>
      </c>
      <c r="K17" s="59">
        <f t="shared" si="3"/>
        <v>0.28732706556744542</v>
      </c>
      <c r="O17" s="4"/>
      <c r="Q17" s="4"/>
    </row>
    <row r="18" spans="1:17" x14ac:dyDescent="0.3">
      <c r="A18" s="50" t="s">
        <v>244</v>
      </c>
      <c r="B18" s="53">
        <v>3.4500000000000003E-2</v>
      </c>
      <c r="C18" s="54">
        <v>2.3300000000000001E-2</v>
      </c>
      <c r="D18" s="54">
        <v>6.0000000000000001E-3</v>
      </c>
      <c r="E18" s="54">
        <v>0</v>
      </c>
      <c r="F18" s="54">
        <v>8.8999999999999999E-3</v>
      </c>
      <c r="G18" s="54">
        <v>8.8999999999999999E-3</v>
      </c>
      <c r="H18" s="54">
        <v>3.09E-2</v>
      </c>
      <c r="I18" s="54">
        <v>0</v>
      </c>
      <c r="J18" s="54">
        <v>1.1999999999999999E-3</v>
      </c>
      <c r="K18" s="55">
        <v>5.5999999999999999E-3</v>
      </c>
      <c r="O18" s="4"/>
      <c r="Q18" s="4"/>
    </row>
    <row r="19" spans="1:17" ht="15" thickBot="1" x14ac:dyDescent="0.35">
      <c r="A19" s="52" t="s">
        <v>245</v>
      </c>
      <c r="B19" s="56">
        <v>5.9400000000000001E-2</v>
      </c>
      <c r="C19" s="57">
        <v>7.9000000000000001E-2</v>
      </c>
      <c r="D19" s="57">
        <v>6.4600000000000005E-2</v>
      </c>
      <c r="E19" s="57">
        <v>4.6899999999999997E-2</v>
      </c>
      <c r="F19" s="57">
        <v>5.0299999999999997E-2</v>
      </c>
      <c r="G19" s="57">
        <v>6.6699999999999995E-2</v>
      </c>
      <c r="H19" s="57">
        <v>7.22E-2</v>
      </c>
      <c r="I19" s="57">
        <v>6.8000000000000005E-2</v>
      </c>
      <c r="J19" s="57">
        <v>2.53E-2</v>
      </c>
      <c r="K19" s="58">
        <v>5.4300000000000001E-2</v>
      </c>
      <c r="O19" s="4"/>
      <c r="Q19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93CD4-B905-4298-9359-6A3432325322}">
  <sheetPr>
    <tabColor rgb="FFC89800"/>
  </sheetPr>
  <dimension ref="A1:G16"/>
  <sheetViews>
    <sheetView workbookViewId="0">
      <selection activeCell="D18" sqref="D18"/>
    </sheetView>
  </sheetViews>
  <sheetFormatPr baseColWidth="10" defaultRowHeight="13.8" x14ac:dyDescent="0.25"/>
  <cols>
    <col min="1" max="1" width="26.5546875" style="5" bestFit="1" customWidth="1"/>
    <col min="2" max="16384" width="11.5546875" style="5"/>
  </cols>
  <sheetData>
    <row r="1" spans="1:7" ht="23.4" x14ac:dyDescent="0.45">
      <c r="A1" s="45" t="s">
        <v>229</v>
      </c>
    </row>
    <row r="2" spans="1:7" ht="18" x14ac:dyDescent="0.35">
      <c r="A2" s="44" t="s">
        <v>217</v>
      </c>
    </row>
    <row r="3" spans="1:7" ht="18" x14ac:dyDescent="0.35">
      <c r="A3" s="44"/>
    </row>
    <row r="4" spans="1:7" x14ac:dyDescent="0.25">
      <c r="A4" s="32" t="s">
        <v>202</v>
      </c>
    </row>
    <row r="5" spans="1:7" x14ac:dyDescent="0.25">
      <c r="A5" s="32" t="s">
        <v>201</v>
      </c>
    </row>
    <row r="6" spans="1:7" ht="14.4" thickBot="1" x14ac:dyDescent="0.3">
      <c r="A6" s="32"/>
    </row>
    <row r="7" spans="1:7" ht="28.8" customHeight="1" thickBot="1" x14ac:dyDescent="0.3">
      <c r="A7" s="63"/>
      <c r="B7" s="73">
        <v>2019</v>
      </c>
      <c r="C7" s="74">
        <v>2020</v>
      </c>
      <c r="D7" s="74">
        <v>2021</v>
      </c>
      <c r="E7" s="74">
        <v>2022</v>
      </c>
      <c r="F7" s="74">
        <v>2023</v>
      </c>
      <c r="G7" s="75" t="s">
        <v>218</v>
      </c>
    </row>
    <row r="8" spans="1:7" x14ac:dyDescent="0.25">
      <c r="A8" s="64" t="s">
        <v>153</v>
      </c>
      <c r="B8" s="76">
        <v>4107</v>
      </c>
      <c r="C8" s="65">
        <v>5936</v>
      </c>
      <c r="D8" s="65">
        <v>12305</v>
      </c>
      <c r="E8" s="65">
        <v>16786</v>
      </c>
      <c r="F8" s="65">
        <v>19336</v>
      </c>
      <c r="G8" s="66">
        <v>13296</v>
      </c>
    </row>
    <row r="9" spans="1:7" x14ac:dyDescent="0.25">
      <c r="A9" s="67" t="s">
        <v>154</v>
      </c>
      <c r="B9" s="77">
        <v>2205</v>
      </c>
      <c r="C9" s="68">
        <v>2675</v>
      </c>
      <c r="D9" s="68">
        <v>6993</v>
      </c>
      <c r="E9" s="68">
        <v>8160</v>
      </c>
      <c r="F9" s="68">
        <v>11001</v>
      </c>
      <c r="G9" s="69">
        <v>8332</v>
      </c>
    </row>
    <row r="10" spans="1:7" ht="14.4" thickBot="1" x14ac:dyDescent="0.3">
      <c r="A10" s="70" t="s">
        <v>155</v>
      </c>
      <c r="B10" s="78">
        <v>872043</v>
      </c>
      <c r="C10" s="71">
        <v>841196</v>
      </c>
      <c r="D10" s="71">
        <v>871065</v>
      </c>
      <c r="E10" s="71">
        <v>751011</v>
      </c>
      <c r="F10" s="71">
        <v>757981</v>
      </c>
      <c r="G10" s="72">
        <v>410973</v>
      </c>
    </row>
    <row r="11" spans="1:7" x14ac:dyDescent="0.25">
      <c r="A11" s="83" t="s">
        <v>152</v>
      </c>
      <c r="B11" s="79">
        <v>4.7096301443850823E-3</v>
      </c>
      <c r="C11" s="79">
        <v>7.0566193847807169E-3</v>
      </c>
      <c r="D11" s="79">
        <v>1.4126385516580279E-2</v>
      </c>
      <c r="E11" s="79">
        <v>2.2351203910462032E-2</v>
      </c>
      <c r="F11" s="79">
        <v>2.5509874258061879E-2</v>
      </c>
      <c r="G11" s="80">
        <v>3.2352490309582378E-2</v>
      </c>
    </row>
    <row r="12" spans="1:7" ht="14.4" thickBot="1" x14ac:dyDescent="0.3">
      <c r="A12" s="84" t="s">
        <v>151</v>
      </c>
      <c r="B12" s="81">
        <v>2.5285450373433421E-3</v>
      </c>
      <c r="C12" s="81">
        <v>3.1799961007898279E-3</v>
      </c>
      <c r="D12" s="81">
        <v>8.0281035284393235E-3</v>
      </c>
      <c r="E12" s="81">
        <v>1.0865353503477313E-2</v>
      </c>
      <c r="F12" s="81">
        <v>1.4513556408406016E-2</v>
      </c>
      <c r="G12" s="82">
        <v>2.0273837940691968E-2</v>
      </c>
    </row>
    <row r="13" spans="1:7" x14ac:dyDescent="0.25">
      <c r="A13" s="85" t="s">
        <v>219</v>
      </c>
      <c r="B13" s="65">
        <v>342.25</v>
      </c>
      <c r="C13" s="65">
        <v>494.66666666666669</v>
      </c>
      <c r="D13" s="65">
        <v>1025.4166666666667</v>
      </c>
      <c r="E13" s="65">
        <v>1398.8333333333333</v>
      </c>
      <c r="F13" s="65">
        <v>1611.3333333333333</v>
      </c>
      <c r="G13" s="66">
        <v>2216</v>
      </c>
    </row>
    <row r="14" spans="1:7" ht="14.4" thickBot="1" x14ac:dyDescent="0.3">
      <c r="A14" s="84" t="s">
        <v>220</v>
      </c>
      <c r="B14" s="71">
        <v>183.75</v>
      </c>
      <c r="C14" s="71">
        <v>222.91666666666666</v>
      </c>
      <c r="D14" s="71">
        <v>582.75</v>
      </c>
      <c r="E14" s="71">
        <v>680</v>
      </c>
      <c r="F14" s="71">
        <v>916.75</v>
      </c>
      <c r="G14" s="72">
        <v>1388.6666666666667</v>
      </c>
    </row>
    <row r="15" spans="1:7" x14ac:dyDescent="0.25">
      <c r="A15" s="6"/>
      <c r="G15" s="7"/>
    </row>
    <row r="16" spans="1:7" x14ac:dyDescent="0.25">
      <c r="A16" s="6"/>
      <c r="G16" s="7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0693-9895-4E18-9925-5DB19AF396F4}">
  <sheetPr>
    <tabColor rgb="FFD7AE00"/>
  </sheetPr>
  <dimension ref="A1:T172"/>
  <sheetViews>
    <sheetView topLeftCell="A15" workbookViewId="0">
      <selection activeCell="B28" sqref="B28"/>
    </sheetView>
  </sheetViews>
  <sheetFormatPr baseColWidth="10" defaultRowHeight="14.4" x14ac:dyDescent="0.3"/>
  <cols>
    <col min="1" max="1" width="37.33203125" customWidth="1"/>
    <col min="2" max="2" width="11.6640625" bestFit="1" customWidth="1"/>
    <col min="4" max="4" width="14.5546875" customWidth="1"/>
    <col min="5" max="5" width="9.6640625" bestFit="1" customWidth="1"/>
    <col min="6" max="6" width="18.88671875" customWidth="1"/>
    <col min="7" max="7" width="16.5546875" customWidth="1"/>
    <col min="8" max="8" width="18.33203125" customWidth="1"/>
    <col min="9" max="9" width="15.109375" bestFit="1" customWidth="1"/>
    <col min="10" max="10" width="11" customWidth="1"/>
    <col min="11" max="11" width="11.5546875" customWidth="1"/>
    <col min="12" max="12" width="11.6640625" bestFit="1" customWidth="1"/>
    <col min="13" max="13" width="11" customWidth="1"/>
    <col min="14" max="14" width="8.5546875" customWidth="1"/>
    <col min="15" max="15" width="12.33203125" bestFit="1" customWidth="1"/>
    <col min="16" max="16" width="10.44140625" customWidth="1"/>
  </cols>
  <sheetData>
    <row r="1" spans="1:5" ht="23.4" x14ac:dyDescent="0.45">
      <c r="A1" s="45" t="s">
        <v>231</v>
      </c>
      <c r="B1" s="45"/>
    </row>
    <row r="2" spans="1:5" ht="18" x14ac:dyDescent="0.35">
      <c r="A2" s="44" t="s">
        <v>240</v>
      </c>
    </row>
    <row r="3" spans="1:5" ht="18" x14ac:dyDescent="0.35">
      <c r="A3" s="1"/>
      <c r="B3" s="44"/>
    </row>
    <row r="4" spans="1:5" x14ac:dyDescent="0.3">
      <c r="A4" s="32" t="s">
        <v>202</v>
      </c>
    </row>
    <row r="5" spans="1:5" x14ac:dyDescent="0.3">
      <c r="A5" s="32" t="s">
        <v>201</v>
      </c>
    </row>
    <row r="6" spans="1:5" x14ac:dyDescent="0.3">
      <c r="A6" s="32"/>
    </row>
    <row r="7" spans="1:5" x14ac:dyDescent="0.3">
      <c r="A7" s="35" t="s">
        <v>193</v>
      </c>
      <c r="B7" s="8"/>
      <c r="C7" s="8"/>
      <c r="D7" s="8"/>
      <c r="E7" s="8"/>
    </row>
    <row r="8" spans="1:5" x14ac:dyDescent="0.3">
      <c r="A8" s="8" t="s">
        <v>196</v>
      </c>
      <c r="D8" s="8"/>
    </row>
    <row r="9" spans="1:5" x14ac:dyDescent="0.3">
      <c r="A9" s="8" t="s">
        <v>176</v>
      </c>
      <c r="B9" s="33">
        <f>'Entwicklungen der PHEV'!F28</f>
        <v>0.27353291819954051</v>
      </c>
      <c r="C9" s="34" t="s">
        <v>192</v>
      </c>
      <c r="D9" s="8"/>
    </row>
    <row r="10" spans="1:5" x14ac:dyDescent="0.3">
      <c r="A10" s="8" t="s">
        <v>177</v>
      </c>
      <c r="B10" s="33">
        <f>'Entwicklungen der PHEV'!F29</f>
        <v>6.1303854671155684E-2</v>
      </c>
      <c r="C10" s="34" t="s">
        <v>192</v>
      </c>
      <c r="D10" s="8"/>
      <c r="E10" s="8"/>
    </row>
    <row r="11" spans="1:5" x14ac:dyDescent="0.3">
      <c r="A11" s="8" t="s">
        <v>195</v>
      </c>
      <c r="B11" s="8"/>
      <c r="C11" s="8"/>
      <c r="D11" s="8"/>
      <c r="E11" s="8"/>
    </row>
    <row r="12" spans="1:5" x14ac:dyDescent="0.3">
      <c r="B12" s="8"/>
      <c r="C12" s="8"/>
      <c r="D12" s="8"/>
      <c r="E12" s="8"/>
    </row>
    <row r="13" spans="1:5" x14ac:dyDescent="0.3">
      <c r="A13" s="35" t="s">
        <v>194</v>
      </c>
    </row>
    <row r="14" spans="1:5" x14ac:dyDescent="0.3">
      <c r="A14" s="8" t="s">
        <v>197</v>
      </c>
    </row>
    <row r="15" spans="1:5" x14ac:dyDescent="0.3">
      <c r="A15" s="8" t="s">
        <v>190</v>
      </c>
    </row>
    <row r="16" spans="1:5" x14ac:dyDescent="0.3">
      <c r="A16" s="8" t="s">
        <v>198</v>
      </c>
    </row>
    <row r="17" spans="1:20" x14ac:dyDescent="0.3">
      <c r="A17" s="8" t="s">
        <v>241</v>
      </c>
    </row>
    <row r="19" spans="1:20" x14ac:dyDescent="0.3">
      <c r="A19" s="35" t="s">
        <v>199</v>
      </c>
    </row>
    <row r="20" spans="1:20" x14ac:dyDescent="0.3">
      <c r="A20" s="8" t="s">
        <v>221</v>
      </c>
      <c r="B20" s="36">
        <v>0.02</v>
      </c>
    </row>
    <row r="21" spans="1:20" x14ac:dyDescent="0.3">
      <c r="A21" s="8" t="s">
        <v>223</v>
      </c>
      <c r="B21" s="36">
        <v>0.03</v>
      </c>
    </row>
    <row r="22" spans="1:20" x14ac:dyDescent="0.3">
      <c r="A22" s="8" t="s">
        <v>224</v>
      </c>
      <c r="B22" s="36">
        <v>0.04</v>
      </c>
    </row>
    <row r="23" spans="1:20" x14ac:dyDescent="0.3">
      <c r="A23" s="8" t="s">
        <v>222</v>
      </c>
      <c r="B23" s="36">
        <v>0.04</v>
      </c>
    </row>
    <row r="25" spans="1:20" ht="16.2" thickBot="1" x14ac:dyDescent="0.35">
      <c r="A25" s="186" t="s">
        <v>166</v>
      </c>
    </row>
    <row r="26" spans="1:20" ht="21" thickBot="1" x14ac:dyDescent="0.35">
      <c r="A26" s="37" t="s">
        <v>200</v>
      </c>
      <c r="B26" s="201" t="s">
        <v>237</v>
      </c>
      <c r="C26" s="202"/>
      <c r="E26" s="203" t="s">
        <v>126</v>
      </c>
      <c r="F26" s="204"/>
      <c r="G26" s="204"/>
      <c r="H26" s="204"/>
      <c r="I26" s="203" t="s">
        <v>238</v>
      </c>
      <c r="J26" s="204"/>
      <c r="K26" s="204"/>
      <c r="L26" s="204"/>
      <c r="M26" s="203" t="s">
        <v>239</v>
      </c>
      <c r="N26" s="204"/>
      <c r="O26" s="204"/>
      <c r="P26" s="205"/>
      <c r="Q26" s="3"/>
      <c r="R26" s="3"/>
      <c r="S26" s="3"/>
      <c r="T26" s="3"/>
    </row>
    <row r="27" spans="1:20" ht="30.6" x14ac:dyDescent="0.3">
      <c r="A27" s="191" t="s">
        <v>169</v>
      </c>
      <c r="B27" s="192" t="s">
        <v>152</v>
      </c>
      <c r="C27" s="193" t="s">
        <v>168</v>
      </c>
      <c r="D27" s="191" t="s">
        <v>167</v>
      </c>
      <c r="E27" s="187" t="s">
        <v>181</v>
      </c>
      <c r="F27" s="188" t="s">
        <v>236</v>
      </c>
      <c r="G27" s="188" t="s">
        <v>125</v>
      </c>
      <c r="H27" s="190" t="s">
        <v>180</v>
      </c>
      <c r="I27" s="187" t="s">
        <v>178</v>
      </c>
      <c r="J27" s="188" t="s">
        <v>129</v>
      </c>
      <c r="K27" s="188" t="s">
        <v>130</v>
      </c>
      <c r="L27" s="189" t="s">
        <v>179</v>
      </c>
      <c r="M27" s="187" t="s">
        <v>182</v>
      </c>
      <c r="N27" s="188" t="s">
        <v>183</v>
      </c>
      <c r="O27" s="188" t="s">
        <v>184</v>
      </c>
      <c r="P27" s="189" t="s">
        <v>185</v>
      </c>
    </row>
    <row r="28" spans="1:20" x14ac:dyDescent="0.3">
      <c r="A28" s="13" t="s">
        <v>1</v>
      </c>
      <c r="B28" s="38">
        <f>Tabelle3[[#This Row],[BEV BE 06/24]]/Tabelle3[[#This Row],[BE 06/24]]</f>
        <v>3.0189475251578959E-2</v>
      </c>
      <c r="C28" s="39">
        <f t="shared" ref="C28:C59" si="0">IF(B28&lt;$B$20,1,IF(B28&lt;$B$21,2,IF(B28&lt;$B$22,3,4)))</f>
        <v>3</v>
      </c>
      <c r="D28" s="8" t="s">
        <v>115</v>
      </c>
      <c r="E28" s="17">
        <v>2169</v>
      </c>
      <c r="F28" s="12">
        <v>628.57864602254404</v>
      </c>
      <c r="G28" s="12">
        <v>41.44140575770124</v>
      </c>
      <c r="H28" s="18">
        <v>78919</v>
      </c>
      <c r="I28" s="17">
        <v>264</v>
      </c>
      <c r="J28" s="12">
        <v>88.077599660252048</v>
      </c>
      <c r="K28" s="12">
        <v>5.1495237923770771</v>
      </c>
      <c r="L28" s="18">
        <v>1672</v>
      </c>
      <c r="M28" s="17">
        <f>Tabelle3[[#This Row],[BEV BE 23]]+Tabelle3[[#This Row],[BEV NZL]]</f>
        <v>2433</v>
      </c>
      <c r="N28" s="12">
        <f>Tabelle3[[#This Row],[Benzin-PHEV (HR)]]+Tabelle3[[#This Row],[Benzin-PHEV]]</f>
        <v>716.65624568279611</v>
      </c>
      <c r="O28" s="12">
        <f>Tabelle3[[#This Row],[Diesel-PHEV (HR)]]+Tabelle3[[#This Row],[Diesel-PHEV]]</f>
        <v>46.590929550078314</v>
      </c>
      <c r="P28" s="18">
        <f>Tabelle3[[#This Row],[BE 23 GES]]+Tabelle3[[#This Row],[NZL GESAMT]]</f>
        <v>80591</v>
      </c>
    </row>
    <row r="29" spans="1:20" x14ac:dyDescent="0.3">
      <c r="A29" s="13" t="s">
        <v>2</v>
      </c>
      <c r="B29" s="38">
        <f>Tabelle3[[#This Row],[BEV BE 06/24]]/Tabelle3[[#This Row],[BE 06/24]]</f>
        <v>2.8212284684759743E-2</v>
      </c>
      <c r="C29" s="39">
        <f t="shared" si="0"/>
        <v>2</v>
      </c>
      <c r="D29" s="8" t="s">
        <v>115</v>
      </c>
      <c r="E29" s="17">
        <v>2390</v>
      </c>
      <c r="F29" s="12">
        <v>998.39515142832283</v>
      </c>
      <c r="G29" s="12">
        <v>54.069999819959314</v>
      </c>
      <c r="H29" s="18">
        <v>94242</v>
      </c>
      <c r="I29" s="17">
        <v>319</v>
      </c>
      <c r="J29" s="12">
        <v>143.60478205475877</v>
      </c>
      <c r="K29" s="12">
        <v>3.4943197162558741</v>
      </c>
      <c r="L29" s="18">
        <v>1780</v>
      </c>
      <c r="M29" s="17">
        <f>Tabelle3[[#This Row],[BEV BE 23]]+Tabelle3[[#This Row],[BEV NZL]]</f>
        <v>2709</v>
      </c>
      <c r="N29" s="12">
        <f>Tabelle3[[#This Row],[Benzin-PHEV (HR)]]+Tabelle3[[#This Row],[Benzin-PHEV]]</f>
        <v>1141.9999334830816</v>
      </c>
      <c r="O29" s="12">
        <f>Tabelle3[[#This Row],[Diesel-PHEV (HR)]]+Tabelle3[[#This Row],[Diesel-PHEV]]</f>
        <v>57.564319536215187</v>
      </c>
      <c r="P29" s="18">
        <f>Tabelle3[[#This Row],[BE 23 GES]]+Tabelle3[[#This Row],[NZL GESAMT]]</f>
        <v>96022</v>
      </c>
    </row>
    <row r="30" spans="1:20" x14ac:dyDescent="0.3">
      <c r="A30" s="86" t="s">
        <v>156</v>
      </c>
      <c r="B30" s="38">
        <f>Tabelle3[[#This Row],[BEV BE 06/24]]/Tabelle3[[#This Row],[BE 06/24]]</f>
        <v>2.1255958319476777E-2</v>
      </c>
      <c r="C30" s="39">
        <f t="shared" si="0"/>
        <v>2</v>
      </c>
      <c r="D30" s="8" t="s">
        <v>114</v>
      </c>
      <c r="E30" s="17">
        <v>684</v>
      </c>
      <c r="F30" s="12">
        <v>260.40333812596259</v>
      </c>
      <c r="G30" s="12">
        <v>16.797256179896657</v>
      </c>
      <c r="H30" s="18">
        <v>35554</v>
      </c>
      <c r="I30" s="17">
        <v>83</v>
      </c>
      <c r="J30" s="12">
        <v>38.294608547935674</v>
      </c>
      <c r="K30" s="12">
        <v>1.1034693840808023</v>
      </c>
      <c r="L30" s="18">
        <v>530</v>
      </c>
      <c r="M30" s="17">
        <f>Tabelle3[[#This Row],[BEV BE 23]]+Tabelle3[[#This Row],[BEV NZL]]</f>
        <v>767</v>
      </c>
      <c r="N30" s="12">
        <f>Tabelle3[[#This Row],[Benzin-PHEV (HR)]]+Tabelle3[[#This Row],[Benzin-PHEV]]</f>
        <v>298.69794667389829</v>
      </c>
      <c r="O30" s="12">
        <f>Tabelle3[[#This Row],[Diesel-PHEV (HR)]]+Tabelle3[[#This Row],[Diesel-PHEV]]</f>
        <v>17.90072556397746</v>
      </c>
      <c r="P30" s="18">
        <f>Tabelle3[[#This Row],[BE 23 GES]]+Tabelle3[[#This Row],[NZL GESAMT]]</f>
        <v>36084</v>
      </c>
    </row>
    <row r="31" spans="1:20" x14ac:dyDescent="0.3">
      <c r="A31" s="87" t="s">
        <v>157</v>
      </c>
      <c r="B31" s="40">
        <f>Tabelle3[[#This Row],[BEV BE 06/24]]/Tabelle3[[#This Row],[BE 06/24]]</f>
        <v>2.45320964615078E-2</v>
      </c>
      <c r="C31" s="41">
        <f t="shared" si="0"/>
        <v>2</v>
      </c>
      <c r="D31" s="8" t="s">
        <v>115</v>
      </c>
      <c r="E31" s="17">
        <v>1198</v>
      </c>
      <c r="F31" s="12">
        <v>442.57626164685655</v>
      </c>
      <c r="G31" s="12">
        <v>22.253299245629513</v>
      </c>
      <c r="H31" s="18">
        <v>54390</v>
      </c>
      <c r="I31" s="17">
        <v>156</v>
      </c>
      <c r="J31" s="12">
        <v>45.406464421123722</v>
      </c>
      <c r="K31" s="12">
        <v>1.7778117854635149</v>
      </c>
      <c r="L31" s="18">
        <v>803</v>
      </c>
      <c r="M31" s="17">
        <f>Tabelle3[[#This Row],[BEV BE 23]]+Tabelle3[[#This Row],[BEV NZL]]</f>
        <v>1354</v>
      </c>
      <c r="N31" s="12">
        <f>Tabelle3[[#This Row],[Benzin-PHEV (HR)]]+Tabelle3[[#This Row],[Benzin-PHEV]]</f>
        <v>487.98272606798025</v>
      </c>
      <c r="O31" s="12">
        <f>Tabelle3[[#This Row],[Diesel-PHEV (HR)]]+Tabelle3[[#This Row],[Diesel-PHEV]]</f>
        <v>24.03111103109303</v>
      </c>
      <c r="P31" s="18">
        <f>Tabelle3[[#This Row],[BE 23 GES]]+Tabelle3[[#This Row],[NZL GESAMT]]</f>
        <v>55193</v>
      </c>
    </row>
    <row r="32" spans="1:20" x14ac:dyDescent="0.3">
      <c r="A32" s="86" t="s">
        <v>4</v>
      </c>
      <c r="B32" s="38">
        <f>Tabelle3[[#This Row],[BEV BE 06/24]]/Tabelle3[[#This Row],[BE 06/24]]</f>
        <v>4.1643097643097642E-2</v>
      </c>
      <c r="C32" s="39">
        <f t="shared" si="0"/>
        <v>4</v>
      </c>
      <c r="D32" s="8" t="s">
        <v>122</v>
      </c>
      <c r="E32" s="17">
        <v>1426</v>
      </c>
      <c r="F32" s="12">
        <v>420.69362819089332</v>
      </c>
      <c r="G32" s="12">
        <v>21.762868408260267</v>
      </c>
      <c r="H32" s="18">
        <v>35975</v>
      </c>
      <c r="I32" s="17">
        <v>120</v>
      </c>
      <c r="J32" s="12">
        <v>50.877122785114537</v>
      </c>
      <c r="K32" s="12">
        <v>2.3908503321750718</v>
      </c>
      <c r="L32" s="18">
        <v>1150</v>
      </c>
      <c r="M32" s="17">
        <f>Tabelle3[[#This Row],[BEV BE 23]]+Tabelle3[[#This Row],[BEV NZL]]</f>
        <v>1546</v>
      </c>
      <c r="N32" s="12">
        <f>Tabelle3[[#This Row],[Benzin-PHEV (HR)]]+Tabelle3[[#This Row],[Benzin-PHEV]]</f>
        <v>471.57075097600784</v>
      </c>
      <c r="O32" s="12">
        <f>Tabelle3[[#This Row],[Diesel-PHEV (HR)]]+Tabelle3[[#This Row],[Diesel-PHEV]]</f>
        <v>24.153718740435338</v>
      </c>
      <c r="P32" s="18">
        <f>Tabelle3[[#This Row],[BE 23 GES]]+Tabelle3[[#This Row],[NZL GESAMT]]</f>
        <v>37125</v>
      </c>
    </row>
    <row r="33" spans="1:16" x14ac:dyDescent="0.3">
      <c r="A33" s="87" t="s">
        <v>158</v>
      </c>
      <c r="B33" s="40">
        <f>Tabelle3[[#This Row],[BEV BE 06/24]]/Tabelle3[[#This Row],[BE 06/24]]</f>
        <v>2.732152007983386E-2</v>
      </c>
      <c r="C33" s="41">
        <f t="shared" si="0"/>
        <v>2</v>
      </c>
      <c r="D33" s="8" t="s">
        <v>117</v>
      </c>
      <c r="E33" s="17">
        <v>1864</v>
      </c>
      <c r="F33" s="12">
        <v>493.45338443197107</v>
      </c>
      <c r="G33" s="12">
        <v>33.655816214464473</v>
      </c>
      <c r="H33" s="18">
        <v>73134</v>
      </c>
      <c r="I33" s="17">
        <v>162</v>
      </c>
      <c r="J33" s="12">
        <v>54.159517803509019</v>
      </c>
      <c r="K33" s="12">
        <v>2.5747618961885386</v>
      </c>
      <c r="L33" s="18">
        <v>1020</v>
      </c>
      <c r="M33" s="17">
        <f>Tabelle3[[#This Row],[BEV BE 23]]+Tabelle3[[#This Row],[BEV NZL]]</f>
        <v>2026</v>
      </c>
      <c r="N33" s="12">
        <f>Tabelle3[[#This Row],[Benzin-PHEV (HR)]]+Tabelle3[[#This Row],[Benzin-PHEV]]</f>
        <v>547.61290223548008</v>
      </c>
      <c r="O33" s="12">
        <f>Tabelle3[[#This Row],[Diesel-PHEV (HR)]]+Tabelle3[[#This Row],[Diesel-PHEV]]</f>
        <v>36.230578110653013</v>
      </c>
      <c r="P33" s="18">
        <f>Tabelle3[[#This Row],[BE 23 GES]]+Tabelle3[[#This Row],[NZL GESAMT]]</f>
        <v>74154</v>
      </c>
    </row>
    <row r="34" spans="1:16" x14ac:dyDescent="0.3">
      <c r="A34" s="88" t="s">
        <v>159</v>
      </c>
      <c r="B34" s="40">
        <f>Tabelle3[[#This Row],[BEV BE 06/24]]/Tabelle3[[#This Row],[BE 06/24]]</f>
        <v>4.6464619948285144E-2</v>
      </c>
      <c r="C34" s="41">
        <f t="shared" si="0"/>
        <v>4</v>
      </c>
      <c r="D34" s="8" t="s">
        <v>122</v>
      </c>
      <c r="E34" s="17">
        <v>3185</v>
      </c>
      <c r="F34" s="12">
        <v>929.73838896023824</v>
      </c>
      <c r="G34" s="12">
        <v>43.648344525862846</v>
      </c>
      <c r="H34" s="18">
        <v>74452</v>
      </c>
      <c r="I34" s="17">
        <v>355</v>
      </c>
      <c r="J34" s="12">
        <v>109.96023311621528</v>
      </c>
      <c r="K34" s="12">
        <v>5.2721315017193886</v>
      </c>
      <c r="L34" s="18">
        <v>1735</v>
      </c>
      <c r="M34" s="17">
        <f>Tabelle3[[#This Row],[BEV BE 23]]+Tabelle3[[#This Row],[BEV NZL]]</f>
        <v>3540</v>
      </c>
      <c r="N34" s="12">
        <f>Tabelle3[[#This Row],[Benzin-PHEV (HR)]]+Tabelle3[[#This Row],[Benzin-PHEV]]</f>
        <v>1039.6986220764536</v>
      </c>
      <c r="O34" s="12">
        <f>Tabelle3[[#This Row],[Diesel-PHEV (HR)]]+Tabelle3[[#This Row],[Diesel-PHEV]]</f>
        <v>48.920476027582232</v>
      </c>
      <c r="P34" s="18">
        <f>Tabelle3[[#This Row],[BE 23 GES]]+Tabelle3[[#This Row],[NZL GESAMT]]</f>
        <v>76187</v>
      </c>
    </row>
    <row r="35" spans="1:16" x14ac:dyDescent="0.3">
      <c r="A35" s="13" t="s">
        <v>6</v>
      </c>
      <c r="B35" s="38">
        <f>Tabelle3[[#This Row],[BEV BE 06/24]]/Tabelle3[[#This Row],[BE 06/24]]</f>
        <v>2.6845250122679905E-2</v>
      </c>
      <c r="C35" s="39">
        <f t="shared" si="0"/>
        <v>2</v>
      </c>
      <c r="D35" s="8" t="s">
        <v>115</v>
      </c>
      <c r="E35" s="17">
        <f>1217+358</f>
        <v>1575</v>
      </c>
      <c r="F35" s="12">
        <v>800.35731865185551</v>
      </c>
      <c r="G35" s="12">
        <v>46.284410276722539</v>
      </c>
      <c r="H35" s="18">
        <f>54333+13234</f>
        <v>67567</v>
      </c>
      <c r="I35" s="17">
        <v>285</v>
      </c>
      <c r="J35" s="12">
        <v>106.95137101602035</v>
      </c>
      <c r="K35" s="12">
        <v>4.8430045190212994</v>
      </c>
      <c r="L35" s="18">
        <v>1719</v>
      </c>
      <c r="M35" s="17">
        <f>Tabelle3[[#This Row],[BEV BE 23]]+Tabelle3[[#This Row],[BEV NZL]]</f>
        <v>1860</v>
      </c>
      <c r="N35" s="12">
        <f>Tabelle3[[#This Row],[Benzin-PHEV (HR)]]+Tabelle3[[#This Row],[Benzin-PHEV]]</f>
        <v>907.3086896678758</v>
      </c>
      <c r="O35" s="12">
        <f>Tabelle3[[#This Row],[Diesel-PHEV (HR)]]+Tabelle3[[#This Row],[Diesel-PHEV]]</f>
        <v>51.127414795743839</v>
      </c>
      <c r="P35" s="18">
        <f>Tabelle3[[#This Row],[BE 23 GES]]+Tabelle3[[#This Row],[NZL GESAMT]]</f>
        <v>69286</v>
      </c>
    </row>
    <row r="36" spans="1:16" x14ac:dyDescent="0.3">
      <c r="A36" s="13" t="s">
        <v>7</v>
      </c>
      <c r="B36" s="38">
        <f>Tabelle3[[#This Row],[BEV BE 06/24]]/Tabelle3[[#This Row],[BE 06/24]]</f>
        <v>1.7127884973070891E-2</v>
      </c>
      <c r="C36" s="39">
        <f t="shared" si="0"/>
        <v>1</v>
      </c>
      <c r="D36" s="8" t="s">
        <v>120</v>
      </c>
      <c r="E36" s="17">
        <v>915</v>
      </c>
      <c r="F36" s="12">
        <v>578.79565491022777</v>
      </c>
      <c r="G36" s="12">
        <v>36.169274255981854</v>
      </c>
      <c r="H36" s="18">
        <v>60238</v>
      </c>
      <c r="I36" s="17">
        <v>144</v>
      </c>
      <c r="J36" s="12">
        <v>91.633527596846065</v>
      </c>
      <c r="K36" s="12">
        <v>3.9847505536251195</v>
      </c>
      <c r="L36" s="18">
        <v>1591</v>
      </c>
      <c r="M36" s="17">
        <f>Tabelle3[[#This Row],[BEV BE 23]]+Tabelle3[[#This Row],[BEV NZL]]</f>
        <v>1059</v>
      </c>
      <c r="N36" s="12">
        <f>Tabelle3[[#This Row],[Benzin-PHEV (HR)]]+Tabelle3[[#This Row],[Benzin-PHEV]]</f>
        <v>670.42918250707385</v>
      </c>
      <c r="O36" s="12">
        <f>Tabelle3[[#This Row],[Diesel-PHEV (HR)]]+Tabelle3[[#This Row],[Diesel-PHEV]]</f>
        <v>40.154024809606973</v>
      </c>
      <c r="P36" s="18">
        <f>Tabelle3[[#This Row],[BE 23 GES]]+Tabelle3[[#This Row],[NZL GESAMT]]</f>
        <v>61829</v>
      </c>
    </row>
    <row r="37" spans="1:16" x14ac:dyDescent="0.3">
      <c r="A37" s="13" t="s">
        <v>8</v>
      </c>
      <c r="B37" s="38">
        <f>Tabelle3[[#This Row],[BEV BE 06/24]]/Tabelle3[[#This Row],[BE 06/24]]</f>
        <v>2.4706424130785172E-2</v>
      </c>
      <c r="C37" s="39">
        <f t="shared" si="0"/>
        <v>2</v>
      </c>
      <c r="D37" s="8" t="s">
        <v>120</v>
      </c>
      <c r="E37" s="17">
        <v>940</v>
      </c>
      <c r="F37" s="12">
        <v>359.42225451419625</v>
      </c>
      <c r="G37" s="12">
        <v>20.904614442864087</v>
      </c>
      <c r="H37" s="18">
        <v>42654</v>
      </c>
      <c r="I37" s="17">
        <v>133</v>
      </c>
      <c r="J37" s="12">
        <v>47.594727766720048</v>
      </c>
      <c r="K37" s="12">
        <v>1.9617233494769819</v>
      </c>
      <c r="L37" s="18">
        <v>776</v>
      </c>
      <c r="M37" s="17">
        <f>Tabelle3[[#This Row],[BEV BE 23]]+Tabelle3[[#This Row],[BEV NZL]]</f>
        <v>1073</v>
      </c>
      <c r="N37" s="12">
        <f>Tabelle3[[#This Row],[Benzin-PHEV (HR)]]+Tabelle3[[#This Row],[Benzin-PHEV]]</f>
        <v>407.0169822809163</v>
      </c>
      <c r="O37" s="12">
        <f>Tabelle3[[#This Row],[Diesel-PHEV (HR)]]+Tabelle3[[#This Row],[Diesel-PHEV]]</f>
        <v>22.866337792341071</v>
      </c>
      <c r="P37" s="18">
        <f>Tabelle3[[#This Row],[BE 23 GES]]+Tabelle3[[#This Row],[NZL GESAMT]]</f>
        <v>43430</v>
      </c>
    </row>
    <row r="38" spans="1:16" x14ac:dyDescent="0.3">
      <c r="A38" s="13" t="s">
        <v>11</v>
      </c>
      <c r="B38" s="38">
        <f>Tabelle3[[#This Row],[BEV BE 06/24]]/Tabelle3[[#This Row],[BE 06/24]]</f>
        <v>4.0648635805646857E-2</v>
      </c>
      <c r="C38" s="39">
        <f t="shared" si="0"/>
        <v>4</v>
      </c>
      <c r="D38" s="8" t="s">
        <v>122</v>
      </c>
      <c r="E38" s="17">
        <v>1789</v>
      </c>
      <c r="F38" s="12">
        <v>593.56643249300294</v>
      </c>
      <c r="G38" s="12">
        <v>30.345408062222063</v>
      </c>
      <c r="H38" s="18">
        <v>48692</v>
      </c>
      <c r="I38" s="17">
        <v>264</v>
      </c>
      <c r="J38" s="12">
        <v>109.41316727981621</v>
      </c>
      <c r="K38" s="12">
        <v>5.2721315017193886</v>
      </c>
      <c r="L38" s="18">
        <v>1814</v>
      </c>
      <c r="M38" s="17">
        <f>Tabelle3[[#This Row],[BEV BE 23]]+Tabelle3[[#This Row],[BEV NZL]]</f>
        <v>2053</v>
      </c>
      <c r="N38" s="12">
        <f>Tabelle3[[#This Row],[Benzin-PHEV (HR)]]+Tabelle3[[#This Row],[Benzin-PHEV]]</f>
        <v>702.97959977281914</v>
      </c>
      <c r="O38" s="12">
        <f>Tabelle3[[#This Row],[Diesel-PHEV (HR)]]+Tabelle3[[#This Row],[Diesel-PHEV]]</f>
        <v>35.617539563941449</v>
      </c>
      <c r="P38" s="18">
        <f>Tabelle3[[#This Row],[BE 23 GES]]+Tabelle3[[#This Row],[NZL GESAMT]]</f>
        <v>50506</v>
      </c>
    </row>
    <row r="39" spans="1:16" x14ac:dyDescent="0.3">
      <c r="A39" s="13" t="s">
        <v>12</v>
      </c>
      <c r="B39" s="38">
        <f>Tabelle3[[#This Row],[BEV BE 06/24]]/Tabelle3[[#This Row],[BE 06/24]]</f>
        <v>2.5781998417260196E-2</v>
      </c>
      <c r="C39" s="39">
        <f t="shared" si="0"/>
        <v>2</v>
      </c>
      <c r="D39" s="8" t="s">
        <v>117</v>
      </c>
      <c r="E39" s="17">
        <v>570</v>
      </c>
      <c r="F39" s="12">
        <v>176.70226515690317</v>
      </c>
      <c r="G39" s="12">
        <v>10.850782276794556</v>
      </c>
      <c r="H39" s="18">
        <v>23586</v>
      </c>
      <c r="I39" s="17">
        <v>49</v>
      </c>
      <c r="J39" s="12">
        <v>32.003351429346239</v>
      </c>
      <c r="K39" s="12">
        <v>3.1878004429000955</v>
      </c>
      <c r="L39" s="18">
        <v>423</v>
      </c>
      <c r="M39" s="17">
        <f>Tabelle3[[#This Row],[BEV BE 23]]+Tabelle3[[#This Row],[BEV NZL]]</f>
        <v>619</v>
      </c>
      <c r="N39" s="12">
        <f>Tabelle3[[#This Row],[Benzin-PHEV (HR)]]+Tabelle3[[#This Row],[Benzin-PHEV]]</f>
        <v>208.70561658624939</v>
      </c>
      <c r="O39" s="12">
        <f>Tabelle3[[#This Row],[Diesel-PHEV (HR)]]+Tabelle3[[#This Row],[Diesel-PHEV]]</f>
        <v>14.038582719694652</v>
      </c>
      <c r="P39" s="18">
        <f>Tabelle3[[#This Row],[BE 23 GES]]+Tabelle3[[#This Row],[NZL GESAMT]]</f>
        <v>24009</v>
      </c>
    </row>
    <row r="40" spans="1:16" x14ac:dyDescent="0.3">
      <c r="A40" s="13" t="s">
        <v>160</v>
      </c>
      <c r="B40" s="38">
        <f>Tabelle3[[#This Row],[BEV BE 06/24]]/Tabelle3[[#This Row],[BE 06/24]]</f>
        <v>6.5632916250863593E-2</v>
      </c>
      <c r="C40" s="39">
        <f t="shared" si="0"/>
        <v>4</v>
      </c>
      <c r="D40" s="8" t="s">
        <v>113</v>
      </c>
      <c r="E40" s="17">
        <v>659</v>
      </c>
      <c r="F40" s="12">
        <v>145.51951248215556</v>
      </c>
      <c r="G40" s="12">
        <v>8.6438435086329513</v>
      </c>
      <c r="H40" s="18">
        <v>12271</v>
      </c>
      <c r="I40" s="17">
        <v>196</v>
      </c>
      <c r="J40" s="12">
        <v>38.021075629736131</v>
      </c>
      <c r="K40" s="12">
        <v>0.79695011072502386</v>
      </c>
      <c r="L40" s="18">
        <v>756</v>
      </c>
      <c r="M40" s="17">
        <f>Tabelle3[[#This Row],[BEV BE 23]]+Tabelle3[[#This Row],[BEV NZL]]</f>
        <v>855</v>
      </c>
      <c r="N40" s="12">
        <f>Tabelle3[[#This Row],[Benzin-PHEV (HR)]]+Tabelle3[[#This Row],[Benzin-PHEV]]</f>
        <v>183.54058811189168</v>
      </c>
      <c r="O40" s="12">
        <f>Tabelle3[[#This Row],[Diesel-PHEV (HR)]]+Tabelle3[[#This Row],[Diesel-PHEV]]</f>
        <v>9.4407936193579758</v>
      </c>
      <c r="P40" s="18">
        <f>Tabelle3[[#This Row],[BE 23 GES]]+Tabelle3[[#This Row],[NZL GESAMT]]</f>
        <v>13027</v>
      </c>
    </row>
    <row r="41" spans="1:16" x14ac:dyDescent="0.3">
      <c r="A41" s="13" t="s">
        <v>13</v>
      </c>
      <c r="B41" s="38">
        <f>Tabelle3[[#This Row],[BEV BE 06/24]]/Tabelle3[[#This Row],[BE 06/24]]</f>
        <v>2.3970578577526762E-2</v>
      </c>
      <c r="C41" s="39">
        <f t="shared" si="0"/>
        <v>2</v>
      </c>
      <c r="D41" s="8" t="s">
        <v>113</v>
      </c>
      <c r="E41" s="17">
        <v>660</v>
      </c>
      <c r="F41" s="12">
        <v>271.89172069034328</v>
      </c>
      <c r="G41" s="12">
        <v>12.62859406225807</v>
      </c>
      <c r="H41" s="18">
        <v>30127</v>
      </c>
      <c r="I41" s="17">
        <v>70</v>
      </c>
      <c r="J41" s="12">
        <v>18.326705519369213</v>
      </c>
      <c r="K41" s="12">
        <v>0.8582539653961796</v>
      </c>
      <c r="L41" s="18">
        <v>327</v>
      </c>
      <c r="M41" s="17">
        <f>Tabelle3[[#This Row],[BEV BE 23]]+Tabelle3[[#This Row],[BEV NZL]]</f>
        <v>730</v>
      </c>
      <c r="N41" s="12">
        <f>Tabelle3[[#This Row],[Benzin-PHEV (HR)]]+Tabelle3[[#This Row],[Benzin-PHEV]]</f>
        <v>290.2184262097125</v>
      </c>
      <c r="O41" s="12">
        <f>Tabelle3[[#This Row],[Diesel-PHEV (HR)]]+Tabelle3[[#This Row],[Diesel-PHEV]]</f>
        <v>13.486848027654251</v>
      </c>
      <c r="P41" s="18">
        <f>Tabelle3[[#This Row],[BE 23 GES]]+Tabelle3[[#This Row],[NZL GESAMT]]</f>
        <v>30454</v>
      </c>
    </row>
    <row r="42" spans="1:16" x14ac:dyDescent="0.3">
      <c r="A42" s="13" t="s">
        <v>16</v>
      </c>
      <c r="B42" s="38">
        <f>Tabelle3[[#This Row],[BEV BE 06/24]]/Tabelle3[[#This Row],[BE 06/24]]</f>
        <v>4.2524005486968448E-2</v>
      </c>
      <c r="C42" s="39">
        <f t="shared" si="0"/>
        <v>4</v>
      </c>
      <c r="D42" s="8" t="s">
        <v>122</v>
      </c>
      <c r="E42" s="17">
        <v>2434</v>
      </c>
      <c r="F42" s="12">
        <v>766.43923679511249</v>
      </c>
      <c r="G42" s="12">
        <v>30.222800352879752</v>
      </c>
      <c r="H42" s="18">
        <v>62404</v>
      </c>
      <c r="I42" s="17">
        <v>294</v>
      </c>
      <c r="J42" s="12">
        <v>109.13963436161666</v>
      </c>
      <c r="K42" s="12">
        <v>3.8008389896116523</v>
      </c>
      <c r="L42" s="18">
        <v>1748</v>
      </c>
      <c r="M42" s="17">
        <f>Tabelle3[[#This Row],[BEV BE 23]]+Tabelle3[[#This Row],[BEV NZL]]</f>
        <v>2728</v>
      </c>
      <c r="N42" s="12">
        <f>Tabelle3[[#This Row],[Benzin-PHEV (HR)]]+Tabelle3[[#This Row],[Benzin-PHEV]]</f>
        <v>875.57887115672918</v>
      </c>
      <c r="O42" s="12">
        <f>Tabelle3[[#This Row],[Diesel-PHEV (HR)]]+Tabelle3[[#This Row],[Diesel-PHEV]]</f>
        <v>34.023639342491407</v>
      </c>
      <c r="P42" s="18">
        <f>Tabelle3[[#This Row],[BE 23 GES]]+Tabelle3[[#This Row],[NZL GESAMT]]</f>
        <v>64152</v>
      </c>
    </row>
    <row r="43" spans="1:16" x14ac:dyDescent="0.3">
      <c r="A43" s="13" t="s">
        <v>17</v>
      </c>
      <c r="B43" s="38">
        <f>Tabelle3[[#This Row],[BEV BE 06/24]]/Tabelle3[[#This Row],[BE 06/24]]</f>
        <v>1.8592817301105784E-2</v>
      </c>
      <c r="C43" s="39">
        <f t="shared" si="0"/>
        <v>1</v>
      </c>
      <c r="D43" s="8" t="s">
        <v>114</v>
      </c>
      <c r="E43" s="17">
        <v>338</v>
      </c>
      <c r="F43" s="12">
        <v>154.54609878274039</v>
      </c>
      <c r="G43" s="12">
        <v>9.7473128927137545</v>
      </c>
      <c r="H43" s="18">
        <v>20174</v>
      </c>
      <c r="I43" s="17">
        <v>42</v>
      </c>
      <c r="J43" s="12">
        <v>16.41197509197243</v>
      </c>
      <c r="K43" s="12">
        <v>1.164773238751958</v>
      </c>
      <c r="L43" s="18">
        <v>264</v>
      </c>
      <c r="M43" s="17">
        <f>Tabelle3[[#This Row],[BEV BE 23]]+Tabelle3[[#This Row],[BEV NZL]]</f>
        <v>380</v>
      </c>
      <c r="N43" s="12">
        <f>Tabelle3[[#This Row],[Benzin-PHEV (HR)]]+Tabelle3[[#This Row],[Benzin-PHEV]]</f>
        <v>170.95807387471282</v>
      </c>
      <c r="O43" s="12">
        <f>Tabelle3[[#This Row],[Diesel-PHEV (HR)]]+Tabelle3[[#This Row],[Diesel-PHEV]]</f>
        <v>10.912086131465713</v>
      </c>
      <c r="P43" s="18">
        <f>Tabelle3[[#This Row],[BE 23 GES]]+Tabelle3[[#This Row],[NZL GESAMT]]</f>
        <v>20438</v>
      </c>
    </row>
    <row r="44" spans="1:16" x14ac:dyDescent="0.3">
      <c r="A44" s="13" t="s">
        <v>19</v>
      </c>
      <c r="B44" s="38">
        <f>Tabelle3[[#This Row],[BEV BE 06/24]]/Tabelle3[[#This Row],[BE 06/24]]</f>
        <v>3.4220532319391636E-2</v>
      </c>
      <c r="C44" s="39">
        <f t="shared" si="0"/>
        <v>3</v>
      </c>
      <c r="D44" s="8" t="s">
        <v>117</v>
      </c>
      <c r="E44" s="17">
        <v>1437</v>
      </c>
      <c r="F44" s="12">
        <v>328.51303475764814</v>
      </c>
      <c r="G44" s="12">
        <v>16.429433051869722</v>
      </c>
      <c r="H44" s="18">
        <v>45400</v>
      </c>
      <c r="I44" s="17">
        <v>147</v>
      </c>
      <c r="J44" s="12">
        <v>60.997840758497532</v>
      </c>
      <c r="K44" s="12">
        <v>0.8582539653961796</v>
      </c>
      <c r="L44" s="18">
        <v>888</v>
      </c>
      <c r="M44" s="17">
        <f>Tabelle3[[#This Row],[BEV BE 23]]+Tabelle3[[#This Row],[BEV NZL]]</f>
        <v>1584</v>
      </c>
      <c r="N44" s="12">
        <f>Tabelle3[[#This Row],[Benzin-PHEV (HR)]]+Tabelle3[[#This Row],[Benzin-PHEV]]</f>
        <v>389.51087551614569</v>
      </c>
      <c r="O44" s="12">
        <f>Tabelle3[[#This Row],[Diesel-PHEV (HR)]]+Tabelle3[[#This Row],[Diesel-PHEV]]</f>
        <v>17.287687017265903</v>
      </c>
      <c r="P44" s="18">
        <f>Tabelle3[[#This Row],[BE 23 GES]]+Tabelle3[[#This Row],[NZL GESAMT]]</f>
        <v>46288</v>
      </c>
    </row>
    <row r="45" spans="1:16" x14ac:dyDescent="0.3">
      <c r="A45" s="13" t="s">
        <v>20</v>
      </c>
      <c r="B45" s="38">
        <f>Tabelle3[[#This Row],[BEV BE 06/24]]/Tabelle3[[#This Row],[BE 06/24]]</f>
        <v>2.2709224403360408E-2</v>
      </c>
      <c r="C45" s="39">
        <f t="shared" si="0"/>
        <v>2</v>
      </c>
      <c r="D45" s="8" t="s">
        <v>115</v>
      </c>
      <c r="E45" s="17">
        <v>1448</v>
      </c>
      <c r="F45" s="12">
        <v>723.4945686377846</v>
      </c>
      <c r="G45" s="12">
        <v>27.70934231136237</v>
      </c>
      <c r="H45" s="18">
        <v>70538</v>
      </c>
      <c r="I45" s="17">
        <v>182</v>
      </c>
      <c r="J45" s="12">
        <v>106.6778380978208</v>
      </c>
      <c r="K45" s="12">
        <v>1.5325963667788922</v>
      </c>
      <c r="L45" s="18">
        <v>1239</v>
      </c>
      <c r="M45" s="17">
        <f>Tabelle3[[#This Row],[BEV BE 23]]+Tabelle3[[#This Row],[BEV NZL]]</f>
        <v>1630</v>
      </c>
      <c r="N45" s="12">
        <f>Tabelle3[[#This Row],[Benzin-PHEV (HR)]]+Tabelle3[[#This Row],[Benzin-PHEV]]</f>
        <v>830.17240673560536</v>
      </c>
      <c r="O45" s="12">
        <f>Tabelle3[[#This Row],[Diesel-PHEV (HR)]]+Tabelle3[[#This Row],[Diesel-PHEV]]</f>
        <v>29.241938678141263</v>
      </c>
      <c r="P45" s="18">
        <f>Tabelle3[[#This Row],[BE 23 GES]]+Tabelle3[[#This Row],[NZL GESAMT]]</f>
        <v>71777</v>
      </c>
    </row>
    <row r="46" spans="1:16" x14ac:dyDescent="0.3">
      <c r="A46" s="13" t="s">
        <v>21</v>
      </c>
      <c r="B46" s="38">
        <f>Tabelle3[[#This Row],[BEV BE 06/24]]/Tabelle3[[#This Row],[BE 06/24]]</f>
        <v>2.3436906480285648E-2</v>
      </c>
      <c r="C46" s="39">
        <f t="shared" si="0"/>
        <v>2</v>
      </c>
      <c r="D46" s="8" t="s">
        <v>115</v>
      </c>
      <c r="E46" s="17">
        <v>555</v>
      </c>
      <c r="F46" s="12">
        <v>229.49411836941448</v>
      </c>
      <c r="G46" s="12">
        <v>8.6438435086329513</v>
      </c>
      <c r="H46" s="18">
        <v>25979</v>
      </c>
      <c r="I46" s="17">
        <v>62</v>
      </c>
      <c r="J46" s="12">
        <v>23.523830965160485</v>
      </c>
      <c r="K46" s="12">
        <v>0.49043083736924548</v>
      </c>
      <c r="L46" s="18">
        <v>347</v>
      </c>
      <c r="M46" s="17">
        <f>Tabelle3[[#This Row],[BEV BE 23]]+Tabelle3[[#This Row],[BEV NZL]]</f>
        <v>617</v>
      </c>
      <c r="N46" s="12">
        <f>Tabelle3[[#This Row],[Benzin-PHEV (HR)]]+Tabelle3[[#This Row],[Benzin-PHEV]]</f>
        <v>253.01794933457495</v>
      </c>
      <c r="O46" s="12">
        <f>Tabelle3[[#This Row],[Diesel-PHEV (HR)]]+Tabelle3[[#This Row],[Diesel-PHEV]]</f>
        <v>9.1342743460021971</v>
      </c>
      <c r="P46" s="18">
        <f>Tabelle3[[#This Row],[BE 23 GES]]+Tabelle3[[#This Row],[NZL GESAMT]]</f>
        <v>26326</v>
      </c>
    </row>
    <row r="47" spans="1:16" x14ac:dyDescent="0.3">
      <c r="A47" s="13" t="s">
        <v>22</v>
      </c>
      <c r="B47" s="38">
        <f>Tabelle3[[#This Row],[BEV BE 06/24]]/Tabelle3[[#This Row],[BE 06/24]]</f>
        <v>3.0958103654236409E-2</v>
      </c>
      <c r="C47" s="39">
        <f t="shared" si="0"/>
        <v>3</v>
      </c>
      <c r="D47" s="8" t="s">
        <v>117</v>
      </c>
      <c r="E47" s="17">
        <v>1975</v>
      </c>
      <c r="F47" s="12">
        <v>678.36163713486042</v>
      </c>
      <c r="G47" s="12">
        <v>39.90880939092235</v>
      </c>
      <c r="H47" s="18">
        <v>67780</v>
      </c>
      <c r="I47" s="17">
        <v>176</v>
      </c>
      <c r="J47" s="12">
        <v>132.38993240857761</v>
      </c>
      <c r="K47" s="12">
        <v>4.5364852456655207</v>
      </c>
      <c r="L47" s="18">
        <v>1701</v>
      </c>
      <c r="M47" s="17">
        <f>Tabelle3[[#This Row],[BEV BE 23]]+Tabelle3[[#This Row],[BEV NZL]]</f>
        <v>2151</v>
      </c>
      <c r="N47" s="12">
        <f>Tabelle3[[#This Row],[Benzin-PHEV (HR)]]+Tabelle3[[#This Row],[Benzin-PHEV]]</f>
        <v>810.75156954343799</v>
      </c>
      <c r="O47" s="12">
        <f>Tabelle3[[#This Row],[Diesel-PHEV (HR)]]+Tabelle3[[#This Row],[Diesel-PHEV]]</f>
        <v>44.445294636587874</v>
      </c>
      <c r="P47" s="18">
        <f>Tabelle3[[#This Row],[BE 23 GES]]+Tabelle3[[#This Row],[NZL GESAMT]]</f>
        <v>69481</v>
      </c>
    </row>
    <row r="48" spans="1:16" x14ac:dyDescent="0.3">
      <c r="A48" s="13" t="s">
        <v>23</v>
      </c>
      <c r="B48" s="38">
        <f>Tabelle3[[#This Row],[BEV BE 06/24]]/Tabelle3[[#This Row],[BE 06/24]]</f>
        <v>3.8299410673360255E-2</v>
      </c>
      <c r="C48" s="39">
        <f t="shared" si="0"/>
        <v>3</v>
      </c>
      <c r="D48" s="8" t="s">
        <v>120</v>
      </c>
      <c r="E48" s="17">
        <v>4926</v>
      </c>
      <c r="F48" s="12">
        <v>1661.1654122258094</v>
      </c>
      <c r="G48" s="12">
        <v>110.65345768143601</v>
      </c>
      <c r="H48" s="18">
        <v>142248</v>
      </c>
      <c r="I48" s="17">
        <v>689</v>
      </c>
      <c r="J48" s="12">
        <v>322.7688434754578</v>
      </c>
      <c r="K48" s="12">
        <v>16.368129197198567</v>
      </c>
      <c r="L48" s="18">
        <v>4360</v>
      </c>
      <c r="M48" s="17">
        <f>Tabelle3[[#This Row],[BEV BE 23]]+Tabelle3[[#This Row],[BEV NZL]]</f>
        <v>5615</v>
      </c>
      <c r="N48" s="12">
        <f>Tabelle3[[#This Row],[Benzin-PHEV (HR)]]+Tabelle3[[#This Row],[Benzin-PHEV]]</f>
        <v>1983.9342557012671</v>
      </c>
      <c r="O48" s="12">
        <f>Tabelle3[[#This Row],[Diesel-PHEV (HR)]]+Tabelle3[[#This Row],[Diesel-PHEV]]</f>
        <v>127.02158687863458</v>
      </c>
      <c r="P48" s="18">
        <f>Tabelle3[[#This Row],[BE 23 GES]]+Tabelle3[[#This Row],[NZL GESAMT]]</f>
        <v>146608</v>
      </c>
    </row>
    <row r="49" spans="1:16" x14ac:dyDescent="0.3">
      <c r="A49" s="13" t="s">
        <v>24</v>
      </c>
      <c r="B49" s="38">
        <f>Tabelle3[[#This Row],[BEV BE 06/24]]/Tabelle3[[#This Row],[BE 06/24]]</f>
        <v>3.4457139232936786E-2</v>
      </c>
      <c r="C49" s="39">
        <f t="shared" si="0"/>
        <v>3</v>
      </c>
      <c r="D49" s="8" t="s">
        <v>120</v>
      </c>
      <c r="E49" s="17">
        <v>3434</v>
      </c>
      <c r="F49" s="12">
        <v>1002.498145201316</v>
      </c>
      <c r="G49" s="12">
        <v>65.779036062150055</v>
      </c>
      <c r="H49" s="18">
        <v>108788</v>
      </c>
      <c r="I49" s="17">
        <v>369</v>
      </c>
      <c r="J49" s="12">
        <v>105.58370642502264</v>
      </c>
      <c r="K49" s="12">
        <v>4.475181390994365</v>
      </c>
      <c r="L49" s="18">
        <v>1581</v>
      </c>
      <c r="M49" s="17">
        <f>Tabelle3[[#This Row],[BEV BE 23]]+Tabelle3[[#This Row],[BEV NZL]]</f>
        <v>3803</v>
      </c>
      <c r="N49" s="12">
        <f>Tabelle3[[#This Row],[Benzin-PHEV (HR)]]+Tabelle3[[#This Row],[Benzin-PHEV]]</f>
        <v>1108.0818516263387</v>
      </c>
      <c r="O49" s="12">
        <f>Tabelle3[[#This Row],[Diesel-PHEV (HR)]]+Tabelle3[[#This Row],[Diesel-PHEV]]</f>
        <v>70.25421745314442</v>
      </c>
      <c r="P49" s="18">
        <f>Tabelle3[[#This Row],[BE 23 GES]]+Tabelle3[[#This Row],[NZL GESAMT]]</f>
        <v>110369</v>
      </c>
    </row>
    <row r="50" spans="1:16" x14ac:dyDescent="0.3">
      <c r="A50" s="13" t="s">
        <v>25</v>
      </c>
      <c r="B50" s="38">
        <f>Tabelle3[[#This Row],[BEV BE 06/24]]/Tabelle3[[#This Row],[BE 06/24]]</f>
        <v>3.1741615119539393E-2</v>
      </c>
      <c r="C50" s="39">
        <f t="shared" si="0"/>
        <v>3</v>
      </c>
      <c r="D50" s="8" t="s">
        <v>117</v>
      </c>
      <c r="E50" s="17">
        <v>1332</v>
      </c>
      <c r="F50" s="12">
        <v>298.97147959209775</v>
      </c>
      <c r="G50" s="12">
        <v>20.843310588192931</v>
      </c>
      <c r="H50" s="18">
        <v>45970</v>
      </c>
      <c r="I50" s="17">
        <v>151</v>
      </c>
      <c r="J50" s="12">
        <v>48.415326521318669</v>
      </c>
      <c r="K50" s="12">
        <v>1.9617233494769819</v>
      </c>
      <c r="L50" s="18">
        <v>751</v>
      </c>
      <c r="M50" s="17">
        <f>Tabelle3[[#This Row],[BEV BE 23]]+Tabelle3[[#This Row],[BEV NZL]]</f>
        <v>1483</v>
      </c>
      <c r="N50" s="12">
        <f>Tabelle3[[#This Row],[Benzin-PHEV (HR)]]+Tabelle3[[#This Row],[Benzin-PHEV]]</f>
        <v>347.38680611341641</v>
      </c>
      <c r="O50" s="12">
        <f>Tabelle3[[#This Row],[Diesel-PHEV (HR)]]+Tabelle3[[#This Row],[Diesel-PHEV]]</f>
        <v>22.805033937669915</v>
      </c>
      <c r="P50" s="18">
        <f>Tabelle3[[#This Row],[BE 23 GES]]+Tabelle3[[#This Row],[NZL GESAMT]]</f>
        <v>46721</v>
      </c>
    </row>
    <row r="51" spans="1:16" x14ac:dyDescent="0.3">
      <c r="A51" s="13" t="s">
        <v>26</v>
      </c>
      <c r="B51" s="38">
        <f>Tabelle3[[#This Row],[BEV BE 06/24]]/Tabelle3[[#This Row],[BE 06/24]]</f>
        <v>2.3236384523001408E-2</v>
      </c>
      <c r="C51" s="39">
        <f t="shared" si="0"/>
        <v>2</v>
      </c>
      <c r="D51" s="8" t="s">
        <v>113</v>
      </c>
      <c r="E51" s="17">
        <v>400</v>
      </c>
      <c r="F51" s="12">
        <v>148.52837458235049</v>
      </c>
      <c r="G51" s="12">
        <v>9.0116666366598857</v>
      </c>
      <c r="H51" s="18">
        <v>18815</v>
      </c>
      <c r="I51" s="17">
        <v>45</v>
      </c>
      <c r="J51" s="12">
        <v>32.003351429346239</v>
      </c>
      <c r="K51" s="12">
        <v>0.91955782006733522</v>
      </c>
      <c r="L51" s="18">
        <v>336</v>
      </c>
      <c r="M51" s="17">
        <f>Tabelle3[[#This Row],[BEV BE 23]]+Tabelle3[[#This Row],[BEV NZL]]</f>
        <v>445</v>
      </c>
      <c r="N51" s="12">
        <f>Tabelle3[[#This Row],[Benzin-PHEV (HR)]]+Tabelle3[[#This Row],[Benzin-PHEV]]</f>
        <v>180.53172601169672</v>
      </c>
      <c r="O51" s="12">
        <f>Tabelle3[[#This Row],[Diesel-PHEV (HR)]]+Tabelle3[[#This Row],[Diesel-PHEV]]</f>
        <v>9.9312244567272216</v>
      </c>
      <c r="P51" s="18">
        <f>Tabelle3[[#This Row],[BE 23 GES]]+Tabelle3[[#This Row],[NZL GESAMT]]</f>
        <v>19151</v>
      </c>
    </row>
    <row r="52" spans="1:16" x14ac:dyDescent="0.3">
      <c r="A52" s="13" t="s">
        <v>27</v>
      </c>
      <c r="B52" s="38">
        <f>Tabelle3[[#This Row],[BEV BE 06/24]]/Tabelle3[[#This Row],[BE 06/24]]</f>
        <v>3.1361191559784854E-2</v>
      </c>
      <c r="C52" s="39">
        <f t="shared" si="0"/>
        <v>3</v>
      </c>
      <c r="D52" s="8" t="s">
        <v>118</v>
      </c>
      <c r="E52" s="17">
        <v>1049</v>
      </c>
      <c r="F52" s="12">
        <v>294.86848581910465</v>
      </c>
      <c r="G52" s="12">
        <v>22.682426228327603</v>
      </c>
      <c r="H52" s="18">
        <v>35630</v>
      </c>
      <c r="I52" s="17">
        <v>88</v>
      </c>
      <c r="J52" s="12">
        <v>39.115207302534294</v>
      </c>
      <c r="K52" s="12">
        <v>2.1456349134904489</v>
      </c>
      <c r="L52" s="18">
        <v>625</v>
      </c>
      <c r="M52" s="17">
        <f>Tabelle3[[#This Row],[BEV BE 23]]+Tabelle3[[#This Row],[BEV NZL]]</f>
        <v>1137</v>
      </c>
      <c r="N52" s="12">
        <f>Tabelle3[[#This Row],[Benzin-PHEV (HR)]]+Tabelle3[[#This Row],[Benzin-PHEV]]</f>
        <v>333.98369312163896</v>
      </c>
      <c r="O52" s="12">
        <f>Tabelle3[[#This Row],[Diesel-PHEV (HR)]]+Tabelle3[[#This Row],[Diesel-PHEV]]</f>
        <v>24.828061141818054</v>
      </c>
      <c r="P52" s="18">
        <f>Tabelle3[[#This Row],[BE 23 GES]]+Tabelle3[[#This Row],[NZL GESAMT]]</f>
        <v>36255</v>
      </c>
    </row>
    <row r="53" spans="1:16" x14ac:dyDescent="0.3">
      <c r="A53" s="13" t="s">
        <v>28</v>
      </c>
      <c r="B53" s="38">
        <f>Tabelle3[[#This Row],[BEV BE 06/24]]/Tabelle3[[#This Row],[BE 06/24]]</f>
        <v>2.8126028544926844E-2</v>
      </c>
      <c r="C53" s="39">
        <f t="shared" si="0"/>
        <v>2</v>
      </c>
      <c r="D53" s="8" t="s">
        <v>120</v>
      </c>
      <c r="E53" s="17">
        <v>1667</v>
      </c>
      <c r="F53" s="12">
        <v>384.31375007035439</v>
      </c>
      <c r="G53" s="12">
        <v>33.594512359793313</v>
      </c>
      <c r="H53" s="18">
        <v>65529</v>
      </c>
      <c r="I53" s="17">
        <v>213</v>
      </c>
      <c r="J53" s="12">
        <v>83.974605887258932</v>
      </c>
      <c r="K53" s="12">
        <v>3.0038888788866287</v>
      </c>
      <c r="L53" s="18">
        <v>1313</v>
      </c>
      <c r="M53" s="17">
        <f>Tabelle3[[#This Row],[BEV BE 23]]+Tabelle3[[#This Row],[BEV NZL]]</f>
        <v>1880</v>
      </c>
      <c r="N53" s="12">
        <f>Tabelle3[[#This Row],[Benzin-PHEV (HR)]]+Tabelle3[[#This Row],[Benzin-PHEV]]</f>
        <v>468.28835595761331</v>
      </c>
      <c r="O53" s="12">
        <f>Tabelle3[[#This Row],[Diesel-PHEV (HR)]]+Tabelle3[[#This Row],[Diesel-PHEV]]</f>
        <v>36.598401238679941</v>
      </c>
      <c r="P53" s="18">
        <f>Tabelle3[[#This Row],[BE 23 GES]]+Tabelle3[[#This Row],[NZL GESAMT]]</f>
        <v>66842</v>
      </c>
    </row>
    <row r="54" spans="1:16" x14ac:dyDescent="0.3">
      <c r="A54" s="13" t="s">
        <v>29</v>
      </c>
      <c r="B54" s="38">
        <f>Tabelle3[[#This Row],[BEV BE 06/24]]/Tabelle3[[#This Row],[BE 06/24]]</f>
        <v>2.2512955568770709E-2</v>
      </c>
      <c r="C54" s="39">
        <f t="shared" si="0"/>
        <v>2</v>
      </c>
      <c r="D54" s="8" t="s">
        <v>114</v>
      </c>
      <c r="E54" s="17">
        <v>243</v>
      </c>
      <c r="F54" s="12">
        <v>83.701072969059396</v>
      </c>
      <c r="G54" s="12">
        <v>5.3334353563905443</v>
      </c>
      <c r="H54" s="18">
        <v>11613</v>
      </c>
      <c r="I54" s="17">
        <v>22</v>
      </c>
      <c r="J54" s="12">
        <v>10.394250891582539</v>
      </c>
      <c r="K54" s="12">
        <v>0.30651927335577844</v>
      </c>
      <c r="L54" s="18">
        <v>158</v>
      </c>
      <c r="M54" s="17">
        <f>Tabelle3[[#This Row],[BEV BE 23]]+Tabelle3[[#This Row],[BEV NZL]]</f>
        <v>265</v>
      </c>
      <c r="N54" s="12">
        <f>Tabelle3[[#This Row],[Benzin-PHEV (HR)]]+Tabelle3[[#This Row],[Benzin-PHEV]]</f>
        <v>94.09532386064194</v>
      </c>
      <c r="O54" s="12">
        <f>Tabelle3[[#This Row],[Diesel-PHEV (HR)]]+Tabelle3[[#This Row],[Diesel-PHEV]]</f>
        <v>5.639954629746323</v>
      </c>
      <c r="P54" s="18">
        <f>Tabelle3[[#This Row],[BE 23 GES]]+Tabelle3[[#This Row],[NZL GESAMT]]</f>
        <v>11771</v>
      </c>
    </row>
    <row r="55" spans="1:16" x14ac:dyDescent="0.3">
      <c r="A55" s="13" t="s">
        <v>32</v>
      </c>
      <c r="B55" s="38">
        <f>Tabelle3[[#This Row],[BEV BE 06/24]]/Tabelle3[[#This Row],[BE 06/24]]</f>
        <v>1.8590347426165013E-2</v>
      </c>
      <c r="C55" s="39">
        <f t="shared" si="0"/>
        <v>1</v>
      </c>
      <c r="D55" s="8" t="s">
        <v>115</v>
      </c>
      <c r="E55" s="17">
        <v>596</v>
      </c>
      <c r="F55" s="12">
        <v>254.11208100737312</v>
      </c>
      <c r="G55" s="12">
        <v>11.341213114163802</v>
      </c>
      <c r="H55" s="18">
        <v>35516</v>
      </c>
      <c r="I55" s="17">
        <v>75</v>
      </c>
      <c r="J55" s="12">
        <v>38.294608547935674</v>
      </c>
      <c r="K55" s="12">
        <v>0.79695011072502386</v>
      </c>
      <c r="L55" s="18">
        <v>578</v>
      </c>
      <c r="M55" s="17">
        <f>Tabelle3[[#This Row],[BEV BE 23]]+Tabelle3[[#This Row],[BEV NZL]]</f>
        <v>671</v>
      </c>
      <c r="N55" s="12">
        <f>Tabelle3[[#This Row],[Benzin-PHEV (HR)]]+Tabelle3[[#This Row],[Benzin-PHEV]]</f>
        <v>292.40668955530879</v>
      </c>
      <c r="O55" s="12">
        <f>Tabelle3[[#This Row],[Diesel-PHEV (HR)]]+Tabelle3[[#This Row],[Diesel-PHEV]]</f>
        <v>12.138163224888826</v>
      </c>
      <c r="P55" s="18">
        <f>Tabelle3[[#This Row],[BE 23 GES]]+Tabelle3[[#This Row],[NZL GESAMT]]</f>
        <v>36094</v>
      </c>
    </row>
    <row r="56" spans="1:16" x14ac:dyDescent="0.3">
      <c r="A56" s="13" t="s">
        <v>33</v>
      </c>
      <c r="B56" s="38">
        <f>Tabelle3[[#This Row],[BEV BE 06/24]]/Tabelle3[[#This Row],[BE 06/24]]</f>
        <v>2.6158510177566045E-2</v>
      </c>
      <c r="C56" s="39">
        <f t="shared" si="0"/>
        <v>2</v>
      </c>
      <c r="D56" s="8" t="s">
        <v>115</v>
      </c>
      <c r="E56" s="17">
        <v>535</v>
      </c>
      <c r="F56" s="12">
        <v>153.99903294634132</v>
      </c>
      <c r="G56" s="12">
        <v>10.115136020740687</v>
      </c>
      <c r="H56" s="18">
        <v>22522</v>
      </c>
      <c r="I56" s="17">
        <v>69</v>
      </c>
      <c r="J56" s="12">
        <v>35.012213529541185</v>
      </c>
      <c r="K56" s="12">
        <v>0.73564625605386824</v>
      </c>
      <c r="L56" s="18">
        <v>568</v>
      </c>
      <c r="M56" s="17">
        <f>Tabelle3[[#This Row],[BEV BE 23]]+Tabelle3[[#This Row],[BEV NZL]]</f>
        <v>604</v>
      </c>
      <c r="N56" s="12">
        <f>Tabelle3[[#This Row],[Benzin-PHEV (HR)]]+Tabelle3[[#This Row],[Benzin-PHEV]]</f>
        <v>189.0112464758825</v>
      </c>
      <c r="O56" s="12">
        <f>Tabelle3[[#This Row],[Diesel-PHEV (HR)]]+Tabelle3[[#This Row],[Diesel-PHEV]]</f>
        <v>10.850782276794556</v>
      </c>
      <c r="P56" s="18">
        <f>Tabelle3[[#This Row],[BE 23 GES]]+Tabelle3[[#This Row],[NZL GESAMT]]</f>
        <v>23090</v>
      </c>
    </row>
    <row r="57" spans="1:16" x14ac:dyDescent="0.3">
      <c r="A57" s="13" t="s">
        <v>34</v>
      </c>
      <c r="B57" s="38">
        <f>Tabelle3[[#This Row],[BEV BE 06/24]]/Tabelle3[[#This Row],[BE 06/24]]</f>
        <v>3.3820459290187892E-2</v>
      </c>
      <c r="C57" s="39">
        <f t="shared" si="0"/>
        <v>3</v>
      </c>
      <c r="D57" s="8" t="s">
        <v>121</v>
      </c>
      <c r="E57" s="17">
        <v>1130</v>
      </c>
      <c r="F57" s="12">
        <v>411.94057480850802</v>
      </c>
      <c r="G57" s="12">
        <v>22.314603100300669</v>
      </c>
      <c r="H57" s="18">
        <v>37338</v>
      </c>
      <c r="I57" s="17">
        <v>166</v>
      </c>
      <c r="J57" s="12">
        <v>68.10969663168558</v>
      </c>
      <c r="K57" s="12">
        <v>1.9617233494769819</v>
      </c>
      <c r="L57" s="18">
        <v>982</v>
      </c>
      <c r="M57" s="17">
        <f>Tabelle3[[#This Row],[BEV BE 23]]+Tabelle3[[#This Row],[BEV NZL]]</f>
        <v>1296</v>
      </c>
      <c r="N57" s="12">
        <f>Tabelle3[[#This Row],[Benzin-PHEV (HR)]]+Tabelle3[[#This Row],[Benzin-PHEV]]</f>
        <v>480.05027144019357</v>
      </c>
      <c r="O57" s="12">
        <f>Tabelle3[[#This Row],[Diesel-PHEV (HR)]]+Tabelle3[[#This Row],[Diesel-PHEV]]</f>
        <v>24.276326449777653</v>
      </c>
      <c r="P57" s="18">
        <f>Tabelle3[[#This Row],[BE 23 GES]]+Tabelle3[[#This Row],[NZL GESAMT]]</f>
        <v>38320</v>
      </c>
    </row>
    <row r="58" spans="1:16" x14ac:dyDescent="0.3">
      <c r="A58" s="13" t="s">
        <v>36</v>
      </c>
      <c r="B58" s="38">
        <f>Tabelle3[[#This Row],[BEV BE 06/24]]/Tabelle3[[#This Row],[BE 06/24]]</f>
        <v>4.8431897378920258E-2</v>
      </c>
      <c r="C58" s="39">
        <f t="shared" si="0"/>
        <v>4</v>
      </c>
      <c r="D58" s="8" t="s">
        <v>121</v>
      </c>
      <c r="E58" s="17">
        <v>2461</v>
      </c>
      <c r="F58" s="12">
        <v>815.67516207102983</v>
      </c>
      <c r="G58" s="12">
        <v>49.349603010280326</v>
      </c>
      <c r="H58" s="18">
        <v>57351</v>
      </c>
      <c r="I58" s="17">
        <v>416</v>
      </c>
      <c r="J58" s="12">
        <v>138.4076566089675</v>
      </c>
      <c r="K58" s="12">
        <v>9.8086167473849102</v>
      </c>
      <c r="L58" s="18">
        <v>2052</v>
      </c>
      <c r="M58" s="17">
        <f>Tabelle3[[#This Row],[BEV BE 23]]+Tabelle3[[#This Row],[BEV NZL]]</f>
        <v>2877</v>
      </c>
      <c r="N58" s="12">
        <f>Tabelle3[[#This Row],[Benzin-PHEV (HR)]]+Tabelle3[[#This Row],[Benzin-PHEV]]</f>
        <v>954.08281867999733</v>
      </c>
      <c r="O58" s="12">
        <f>Tabelle3[[#This Row],[Diesel-PHEV (HR)]]+Tabelle3[[#This Row],[Diesel-PHEV]]</f>
        <v>59.158219757665236</v>
      </c>
      <c r="P58" s="18">
        <f>Tabelle3[[#This Row],[BE 23 GES]]+Tabelle3[[#This Row],[NZL GESAMT]]</f>
        <v>59403</v>
      </c>
    </row>
    <row r="59" spans="1:16" x14ac:dyDescent="0.3">
      <c r="A59" s="13" t="s">
        <v>37</v>
      </c>
      <c r="B59" s="38">
        <f>Tabelle3[[#This Row],[BEV BE 06/24]]/Tabelle3[[#This Row],[BE 06/24]]</f>
        <v>3.4715442485499341E-2</v>
      </c>
      <c r="C59" s="39">
        <f t="shared" si="0"/>
        <v>3</v>
      </c>
      <c r="D59" s="8" t="s">
        <v>121</v>
      </c>
      <c r="E59" s="17">
        <v>3154</v>
      </c>
      <c r="F59" s="12">
        <v>1315.4198036215903</v>
      </c>
      <c r="G59" s="12">
        <v>64.614262823398093</v>
      </c>
      <c r="H59" s="18">
        <v>102242</v>
      </c>
      <c r="I59" s="17">
        <v>473</v>
      </c>
      <c r="J59" s="12">
        <v>151.81076960074498</v>
      </c>
      <c r="K59" s="12">
        <v>8.0921088165925497</v>
      </c>
      <c r="L59" s="18">
        <v>2236</v>
      </c>
      <c r="M59" s="17">
        <f>Tabelle3[[#This Row],[BEV BE 23]]+Tabelle3[[#This Row],[BEV NZL]]</f>
        <v>3627</v>
      </c>
      <c r="N59" s="12">
        <f>Tabelle3[[#This Row],[Benzin-PHEV (HR)]]+Tabelle3[[#This Row],[Benzin-PHEV]]</f>
        <v>1467.2305732223354</v>
      </c>
      <c r="O59" s="12">
        <f>Tabelle3[[#This Row],[Diesel-PHEV (HR)]]+Tabelle3[[#This Row],[Diesel-PHEV]]</f>
        <v>72.706371639990635</v>
      </c>
      <c r="P59" s="18">
        <f>Tabelle3[[#This Row],[BE 23 GES]]+Tabelle3[[#This Row],[NZL GESAMT]]</f>
        <v>104478</v>
      </c>
    </row>
    <row r="60" spans="1:16" x14ac:dyDescent="0.3">
      <c r="A60" s="13" t="s">
        <v>38</v>
      </c>
      <c r="B60" s="38">
        <f>Tabelle3[[#This Row],[BEV BE 06/24]]/Tabelle3[[#This Row],[BE 06/24]]</f>
        <v>1.7171476269973767E-2</v>
      </c>
      <c r="C60" s="39">
        <f t="shared" ref="C60:C91" si="1">IF(B60&lt;$B$20,1,IF(B60&lt;$B$21,2,IF(B60&lt;$B$22,3,4)))</f>
        <v>1</v>
      </c>
      <c r="D60" s="8" t="s">
        <v>113</v>
      </c>
      <c r="E60" s="17">
        <v>194</v>
      </c>
      <c r="F60" s="12">
        <v>85.889336314655722</v>
      </c>
      <c r="G60" s="12">
        <v>5.0269160830347666</v>
      </c>
      <c r="H60" s="18">
        <v>12387</v>
      </c>
      <c r="I60" s="17">
        <v>22</v>
      </c>
      <c r="J60" s="12">
        <v>11.761915482580243</v>
      </c>
      <c r="K60" s="12">
        <v>0.49043083736924548</v>
      </c>
      <c r="L60" s="18">
        <v>192</v>
      </c>
      <c r="M60" s="17">
        <f>Tabelle3[[#This Row],[BEV BE 23]]+Tabelle3[[#This Row],[BEV NZL]]</f>
        <v>216</v>
      </c>
      <c r="N60" s="12">
        <f>Tabelle3[[#This Row],[Benzin-PHEV (HR)]]+Tabelle3[[#This Row],[Benzin-PHEV]]</f>
        <v>97.651251797235972</v>
      </c>
      <c r="O60" s="12">
        <f>Tabelle3[[#This Row],[Diesel-PHEV (HR)]]+Tabelle3[[#This Row],[Diesel-PHEV]]</f>
        <v>5.5173469204040124</v>
      </c>
      <c r="P60" s="18">
        <f>Tabelle3[[#This Row],[BE 23 GES]]+Tabelle3[[#This Row],[NZL GESAMT]]</f>
        <v>12579</v>
      </c>
    </row>
    <row r="61" spans="1:16" x14ac:dyDescent="0.3">
      <c r="A61" s="13" t="s">
        <v>40</v>
      </c>
      <c r="B61" s="38">
        <f>Tabelle3[[#This Row],[BEV BE 06/24]]/Tabelle3[[#This Row],[BE 06/24]]</f>
        <v>4.0672821550524853E-2</v>
      </c>
      <c r="C61" s="39">
        <f t="shared" si="1"/>
        <v>4</v>
      </c>
      <c r="D61" s="8" t="s">
        <v>117</v>
      </c>
      <c r="E61" s="17">
        <v>1475</v>
      </c>
      <c r="F61" s="12">
        <v>301.70680877409319</v>
      </c>
      <c r="G61" s="12">
        <v>17.287687017265903</v>
      </c>
      <c r="H61" s="18">
        <v>38920</v>
      </c>
      <c r="I61" s="17">
        <v>133</v>
      </c>
      <c r="J61" s="12">
        <v>36.653411038738426</v>
      </c>
      <c r="K61" s="12">
        <v>1.4712925121077365</v>
      </c>
      <c r="L61" s="18">
        <v>615</v>
      </c>
      <c r="M61" s="17">
        <f>Tabelle3[[#This Row],[BEV BE 23]]+Tabelle3[[#This Row],[BEV NZL]]</f>
        <v>1608</v>
      </c>
      <c r="N61" s="12">
        <f>Tabelle3[[#This Row],[Benzin-PHEV (HR)]]+Tabelle3[[#This Row],[Benzin-PHEV]]</f>
        <v>338.36021981283159</v>
      </c>
      <c r="O61" s="12">
        <f>Tabelle3[[#This Row],[Diesel-PHEV (HR)]]+Tabelle3[[#This Row],[Diesel-PHEV]]</f>
        <v>18.75897952937364</v>
      </c>
      <c r="P61" s="18">
        <f>Tabelle3[[#This Row],[BE 23 GES]]+Tabelle3[[#This Row],[NZL GESAMT]]</f>
        <v>39535</v>
      </c>
    </row>
    <row r="62" spans="1:16" x14ac:dyDescent="0.3">
      <c r="A62" s="13" t="s">
        <v>41</v>
      </c>
      <c r="B62" s="38">
        <f>Tabelle3[[#This Row],[BEV BE 06/24]]/Tabelle3[[#This Row],[BE 06/24]]</f>
        <v>4.1895725079699776E-2</v>
      </c>
      <c r="C62" s="39">
        <f t="shared" si="1"/>
        <v>4</v>
      </c>
      <c r="D62" s="8" t="s">
        <v>121</v>
      </c>
      <c r="E62" s="17">
        <v>1511</v>
      </c>
      <c r="F62" s="12">
        <v>614.90200011256707</v>
      </c>
      <c r="G62" s="12">
        <v>32.429739121041358</v>
      </c>
      <c r="H62" s="18">
        <v>38747</v>
      </c>
      <c r="I62" s="17">
        <v>158</v>
      </c>
      <c r="J62" s="12">
        <v>83.427540050859861</v>
      </c>
      <c r="K62" s="12">
        <v>3.5556235709270299</v>
      </c>
      <c r="L62" s="18">
        <v>1090</v>
      </c>
      <c r="M62" s="17">
        <f>Tabelle3[[#This Row],[BEV BE 23]]+Tabelle3[[#This Row],[BEV NZL]]</f>
        <v>1669</v>
      </c>
      <c r="N62" s="12">
        <f>Tabelle3[[#This Row],[Benzin-PHEV (HR)]]+Tabelle3[[#This Row],[Benzin-PHEV]]</f>
        <v>698.32954016342694</v>
      </c>
      <c r="O62" s="12">
        <f>Tabelle3[[#This Row],[Diesel-PHEV (HR)]]+Tabelle3[[#This Row],[Diesel-PHEV]]</f>
        <v>35.98536269196839</v>
      </c>
      <c r="P62" s="18">
        <f>Tabelle3[[#This Row],[BE 23 GES]]+Tabelle3[[#This Row],[NZL GESAMT]]</f>
        <v>39837</v>
      </c>
    </row>
    <row r="63" spans="1:16" x14ac:dyDescent="0.3">
      <c r="A63" s="13" t="s">
        <v>42</v>
      </c>
      <c r="B63" s="38">
        <f>Tabelle3[[#This Row],[BEV BE 06/24]]/Tabelle3[[#This Row],[BE 06/24]]</f>
        <v>3.3053803339517622E-2</v>
      </c>
      <c r="C63" s="39">
        <f t="shared" si="1"/>
        <v>3</v>
      </c>
      <c r="D63" s="8" t="s">
        <v>114</v>
      </c>
      <c r="E63" s="17">
        <v>1848</v>
      </c>
      <c r="F63" s="12">
        <v>721.30630529218831</v>
      </c>
      <c r="G63" s="12">
        <v>51.617845633113085</v>
      </c>
      <c r="H63" s="18">
        <v>65110</v>
      </c>
      <c r="I63" s="17">
        <v>379</v>
      </c>
      <c r="J63" s="12">
        <v>163.02561924692614</v>
      </c>
      <c r="K63" s="12">
        <v>6.1916893217867237</v>
      </c>
      <c r="L63" s="18">
        <v>2265</v>
      </c>
      <c r="M63" s="17">
        <f>Tabelle3[[#This Row],[BEV BE 23]]+Tabelle3[[#This Row],[BEV NZL]]</f>
        <v>2227</v>
      </c>
      <c r="N63" s="12">
        <f>Tabelle3[[#This Row],[Benzin-PHEV (HR)]]+Tabelle3[[#This Row],[Benzin-PHEV]]</f>
        <v>884.33192453911442</v>
      </c>
      <c r="O63" s="12">
        <f>Tabelle3[[#This Row],[Diesel-PHEV (HR)]]+Tabelle3[[#This Row],[Diesel-PHEV]]</f>
        <v>57.80953495489981</v>
      </c>
      <c r="P63" s="18">
        <f>Tabelle3[[#This Row],[BE 23 GES]]+Tabelle3[[#This Row],[NZL GESAMT]]</f>
        <v>67375</v>
      </c>
    </row>
    <row r="64" spans="1:16" x14ac:dyDescent="0.3">
      <c r="A64" s="13" t="s">
        <v>43</v>
      </c>
      <c r="B64" s="38">
        <f>Tabelle3[[#This Row],[BEV BE 06/24]]/Tabelle3[[#This Row],[BE 06/24]]</f>
        <v>2.1127414561664191E-2</v>
      </c>
      <c r="C64" s="39">
        <f t="shared" si="1"/>
        <v>2</v>
      </c>
      <c r="D64" s="8" t="s">
        <v>114</v>
      </c>
      <c r="E64" s="17">
        <v>825</v>
      </c>
      <c r="F64" s="12">
        <v>358.87518867779715</v>
      </c>
      <c r="G64" s="12">
        <v>21.088526006877554</v>
      </c>
      <c r="H64" s="18">
        <v>42466</v>
      </c>
      <c r="I64" s="17">
        <v>85</v>
      </c>
      <c r="J64" s="12">
        <v>46.774129012121428</v>
      </c>
      <c r="K64" s="12">
        <v>1.9004194948058262</v>
      </c>
      <c r="L64" s="18">
        <v>606</v>
      </c>
      <c r="M64" s="17">
        <f>Tabelle3[[#This Row],[BEV BE 23]]+Tabelle3[[#This Row],[BEV NZL]]</f>
        <v>910</v>
      </c>
      <c r="N64" s="12">
        <f>Tabelle3[[#This Row],[Benzin-PHEV (HR)]]+Tabelle3[[#This Row],[Benzin-PHEV]]</f>
        <v>405.64931768991858</v>
      </c>
      <c r="O64" s="12">
        <f>Tabelle3[[#This Row],[Diesel-PHEV (HR)]]+Tabelle3[[#This Row],[Diesel-PHEV]]</f>
        <v>22.988945501683382</v>
      </c>
      <c r="P64" s="18">
        <f>Tabelle3[[#This Row],[BE 23 GES]]+Tabelle3[[#This Row],[NZL GESAMT]]</f>
        <v>43072</v>
      </c>
    </row>
    <row r="65" spans="1:16" x14ac:dyDescent="0.3">
      <c r="A65" s="13" t="s">
        <v>45</v>
      </c>
      <c r="B65" s="38">
        <f>Tabelle3[[#This Row],[BEV BE 06/24]]/Tabelle3[[#This Row],[BE 06/24]]</f>
        <v>3.3749637879421895E-2</v>
      </c>
      <c r="C65" s="39">
        <f t="shared" si="1"/>
        <v>3</v>
      </c>
      <c r="D65" s="8" t="s">
        <v>115</v>
      </c>
      <c r="E65" s="17">
        <v>1861</v>
      </c>
      <c r="F65" s="12">
        <v>622.01385598575507</v>
      </c>
      <c r="G65" s="12">
        <v>34.330158615847182</v>
      </c>
      <c r="H65" s="18">
        <v>60869</v>
      </c>
      <c r="I65" s="17">
        <v>236</v>
      </c>
      <c r="J65" s="12">
        <v>85.615803396456172</v>
      </c>
      <c r="K65" s="12">
        <v>2.8812811695443172</v>
      </c>
      <c r="L65" s="18">
        <v>1265</v>
      </c>
      <c r="M65" s="17">
        <f>Tabelle3[[#This Row],[BEV BE 23]]+Tabelle3[[#This Row],[BEV NZL]]</f>
        <v>2097</v>
      </c>
      <c r="N65" s="12">
        <f>Tabelle3[[#This Row],[Benzin-PHEV (HR)]]+Tabelle3[[#This Row],[Benzin-PHEV]]</f>
        <v>707.62965938221123</v>
      </c>
      <c r="O65" s="12">
        <f>Tabelle3[[#This Row],[Diesel-PHEV (HR)]]+Tabelle3[[#This Row],[Diesel-PHEV]]</f>
        <v>37.211439785391498</v>
      </c>
      <c r="P65" s="18">
        <f>Tabelle3[[#This Row],[BE 23 GES]]+Tabelle3[[#This Row],[NZL GESAMT]]</f>
        <v>62134</v>
      </c>
    </row>
    <row r="66" spans="1:16" x14ac:dyDescent="0.3">
      <c r="A66" s="13" t="s">
        <v>161</v>
      </c>
      <c r="B66" s="38">
        <f>Tabelle3[[#This Row],[BEV BE 06/24]]/Tabelle3[[#This Row],[BE 06/24]]</f>
        <v>3.2833917755817663E-2</v>
      </c>
      <c r="C66" s="39">
        <f t="shared" si="1"/>
        <v>3</v>
      </c>
      <c r="D66" s="8" t="s">
        <v>115</v>
      </c>
      <c r="E66" s="17">
        <v>418</v>
      </c>
      <c r="F66" s="12">
        <v>150.71663792794683</v>
      </c>
      <c r="G66" s="12">
        <v>11.341213114163802</v>
      </c>
      <c r="H66" s="18">
        <v>14929</v>
      </c>
      <c r="I66" s="17">
        <v>97</v>
      </c>
      <c r="J66" s="12">
        <v>51.9712544579127</v>
      </c>
      <c r="K66" s="12">
        <v>1.5939002214500477</v>
      </c>
      <c r="L66" s="18">
        <v>756</v>
      </c>
      <c r="M66" s="17">
        <f>Tabelle3[[#This Row],[BEV BE 23]]+Tabelle3[[#This Row],[BEV NZL]]</f>
        <v>515</v>
      </c>
      <c r="N66" s="12">
        <f>Tabelle3[[#This Row],[Benzin-PHEV (HR)]]+Tabelle3[[#This Row],[Benzin-PHEV]]</f>
        <v>202.68789238585953</v>
      </c>
      <c r="O66" s="12">
        <f>Tabelle3[[#This Row],[Diesel-PHEV (HR)]]+Tabelle3[[#This Row],[Diesel-PHEV]]</f>
        <v>12.935113335613849</v>
      </c>
      <c r="P66" s="18">
        <f>Tabelle3[[#This Row],[BE 23 GES]]+Tabelle3[[#This Row],[NZL GESAMT]]</f>
        <v>15685</v>
      </c>
    </row>
    <row r="67" spans="1:16" x14ac:dyDescent="0.3">
      <c r="A67" s="13" t="s">
        <v>46</v>
      </c>
      <c r="B67" s="38">
        <f>Tabelle3[[#This Row],[BEV BE 06/24]]/Tabelle3[[#This Row],[BE 06/24]]</f>
        <v>2.5989604158336666E-2</v>
      </c>
      <c r="C67" s="39">
        <f t="shared" si="1"/>
        <v>2</v>
      </c>
      <c r="D67" s="8" t="s">
        <v>115</v>
      </c>
      <c r="E67" s="17">
        <v>951</v>
      </c>
      <c r="F67" s="12">
        <v>275.44764862693728</v>
      </c>
      <c r="G67" s="12">
        <v>15.877698359829322</v>
      </c>
      <c r="H67" s="18">
        <v>39481</v>
      </c>
      <c r="I67" s="17">
        <v>89</v>
      </c>
      <c r="J67" s="12">
        <v>30.088621001949456</v>
      </c>
      <c r="K67" s="12">
        <v>1.348684802765425</v>
      </c>
      <c r="L67" s="18">
        <v>535</v>
      </c>
      <c r="M67" s="17">
        <f>Tabelle3[[#This Row],[BEV BE 23]]+Tabelle3[[#This Row],[BEV NZL]]</f>
        <v>1040</v>
      </c>
      <c r="N67" s="12">
        <f>Tabelle3[[#This Row],[Benzin-PHEV (HR)]]+Tabelle3[[#This Row],[Benzin-PHEV]]</f>
        <v>305.53626962888671</v>
      </c>
      <c r="O67" s="12">
        <f>Tabelle3[[#This Row],[Diesel-PHEV (HR)]]+Tabelle3[[#This Row],[Diesel-PHEV]]</f>
        <v>17.226383162594747</v>
      </c>
      <c r="P67" s="18">
        <f>Tabelle3[[#This Row],[BE 23 GES]]+Tabelle3[[#This Row],[NZL GESAMT]]</f>
        <v>40016</v>
      </c>
    </row>
    <row r="68" spans="1:16" x14ac:dyDescent="0.3">
      <c r="A68" s="13" t="s">
        <v>47</v>
      </c>
      <c r="B68" s="38">
        <f>Tabelle3[[#This Row],[BEV BE 06/24]]/Tabelle3[[#This Row],[BE 06/24]]</f>
        <v>3.8384573403674731E-2</v>
      </c>
      <c r="C68" s="39">
        <f t="shared" si="1"/>
        <v>3</v>
      </c>
      <c r="D68" s="8" t="s">
        <v>121</v>
      </c>
      <c r="E68" s="17">
        <v>2239</v>
      </c>
      <c r="F68" s="12">
        <v>777.92761935949318</v>
      </c>
      <c r="G68" s="12">
        <v>49.472210719622637</v>
      </c>
      <c r="H68" s="18">
        <v>64223</v>
      </c>
      <c r="I68" s="17">
        <v>293</v>
      </c>
      <c r="J68" s="12">
        <v>109.96023311621528</v>
      </c>
      <c r="K68" s="12">
        <v>5.8851700484309459</v>
      </c>
      <c r="L68" s="18">
        <v>1741</v>
      </c>
      <c r="M68" s="17">
        <f>Tabelle3[[#This Row],[BEV BE 23]]+Tabelle3[[#This Row],[BEV NZL]]</f>
        <v>2532</v>
      </c>
      <c r="N68" s="12">
        <f>Tabelle3[[#This Row],[Benzin-PHEV (HR)]]+Tabelle3[[#This Row],[Benzin-PHEV]]</f>
        <v>887.88785247570843</v>
      </c>
      <c r="O68" s="12">
        <f>Tabelle3[[#This Row],[Diesel-PHEV (HR)]]+Tabelle3[[#This Row],[Diesel-PHEV]]</f>
        <v>55.357380768053581</v>
      </c>
      <c r="P68" s="18">
        <f>Tabelle3[[#This Row],[BE 23 GES]]+Tabelle3[[#This Row],[NZL GESAMT]]</f>
        <v>65964</v>
      </c>
    </row>
    <row r="69" spans="1:16" x14ac:dyDescent="0.3">
      <c r="A69" s="13" t="s">
        <v>48</v>
      </c>
      <c r="B69" s="38">
        <f>Tabelle3[[#This Row],[BEV BE 06/24]]/Tabelle3[[#This Row],[BE 06/24]]</f>
        <v>3.0392744715934644E-2</v>
      </c>
      <c r="C69" s="39">
        <f t="shared" si="1"/>
        <v>3</v>
      </c>
      <c r="D69" s="8" t="s">
        <v>121</v>
      </c>
      <c r="E69" s="17">
        <v>725</v>
      </c>
      <c r="F69" s="12">
        <v>287.20956410951754</v>
      </c>
      <c r="G69" s="12">
        <v>14.467709702392742</v>
      </c>
      <c r="H69" s="18">
        <v>26200</v>
      </c>
      <c r="I69" s="17">
        <v>86</v>
      </c>
      <c r="J69" s="12">
        <v>27.626824738153591</v>
      </c>
      <c r="K69" s="12">
        <v>1.348684802765425</v>
      </c>
      <c r="L69" s="18">
        <v>484</v>
      </c>
      <c r="M69" s="17">
        <f>Tabelle3[[#This Row],[BEV BE 23]]+Tabelle3[[#This Row],[BEV NZL]]</f>
        <v>811</v>
      </c>
      <c r="N69" s="12">
        <f>Tabelle3[[#This Row],[Benzin-PHEV (HR)]]+Tabelle3[[#This Row],[Benzin-PHEV]]</f>
        <v>314.83638884767112</v>
      </c>
      <c r="O69" s="12">
        <f>Tabelle3[[#This Row],[Diesel-PHEV (HR)]]+Tabelle3[[#This Row],[Diesel-PHEV]]</f>
        <v>15.816394505158167</v>
      </c>
      <c r="P69" s="18">
        <f>Tabelle3[[#This Row],[BE 23 GES]]+Tabelle3[[#This Row],[NZL GESAMT]]</f>
        <v>26684</v>
      </c>
    </row>
    <row r="70" spans="1:16" x14ac:dyDescent="0.3">
      <c r="A70" s="13" t="s">
        <v>50</v>
      </c>
      <c r="B70" s="38">
        <f>Tabelle3[[#This Row],[BEV BE 06/24]]/Tabelle3[[#This Row],[BE 06/24]]</f>
        <v>2.4486326560635534E-2</v>
      </c>
      <c r="C70" s="39">
        <f t="shared" si="1"/>
        <v>2</v>
      </c>
      <c r="D70" s="8" t="s">
        <v>120</v>
      </c>
      <c r="E70" s="17">
        <v>1339</v>
      </c>
      <c r="F70" s="12">
        <v>371.73123583317556</v>
      </c>
      <c r="G70" s="12">
        <v>32.368435266370199</v>
      </c>
      <c r="H70" s="18">
        <v>60128</v>
      </c>
      <c r="I70" s="17">
        <v>159</v>
      </c>
      <c r="J70" s="12">
        <v>63.4596370222934</v>
      </c>
      <c r="K70" s="12">
        <v>4.0460544082962748</v>
      </c>
      <c r="L70" s="18">
        <v>1049</v>
      </c>
      <c r="M70" s="17">
        <f>Tabelle3[[#This Row],[BEV BE 23]]+Tabelle3[[#This Row],[BEV NZL]]</f>
        <v>1498</v>
      </c>
      <c r="N70" s="12">
        <f>Tabelle3[[#This Row],[Benzin-PHEV (HR)]]+Tabelle3[[#This Row],[Benzin-PHEV]]</f>
        <v>435.19087285546897</v>
      </c>
      <c r="O70" s="12">
        <f>Tabelle3[[#This Row],[Diesel-PHEV (HR)]]+Tabelle3[[#This Row],[Diesel-PHEV]]</f>
        <v>36.41448967466647</v>
      </c>
      <c r="P70" s="18">
        <f>Tabelle3[[#This Row],[BE 23 GES]]+Tabelle3[[#This Row],[NZL GESAMT]]</f>
        <v>61177</v>
      </c>
    </row>
    <row r="71" spans="1:16" x14ac:dyDescent="0.3">
      <c r="A71" s="13" t="s">
        <v>170</v>
      </c>
      <c r="B71" s="38">
        <f>Tabelle3[[#This Row],[BEV BE 06/24]]/Tabelle3[[#This Row],[BE 06/24]]</f>
        <v>1.6792267365661862E-2</v>
      </c>
      <c r="C71" s="39">
        <f t="shared" si="1"/>
        <v>1</v>
      </c>
      <c r="D71" s="8" t="s">
        <v>120</v>
      </c>
      <c r="E71" s="17">
        <f>199+341</f>
        <v>540</v>
      </c>
      <c r="F71" s="12">
        <v>353.67806323200585</v>
      </c>
      <c r="G71" s="12">
        <v>28.199773148731616</v>
      </c>
      <c r="H71" s="18">
        <f>13096+22420</f>
        <v>35516</v>
      </c>
      <c r="I71" s="17">
        <v>75</v>
      </c>
      <c r="J71" s="12">
        <v>55.253649476307181</v>
      </c>
      <c r="K71" s="12">
        <v>4.4138775363232092</v>
      </c>
      <c r="L71" s="18">
        <v>1108</v>
      </c>
      <c r="M71" s="17">
        <f>Tabelle3[[#This Row],[BEV BE 23]]+Tabelle3[[#This Row],[BEV NZL]]</f>
        <v>615</v>
      </c>
      <c r="N71" s="12">
        <f>Tabelle3[[#This Row],[Benzin-PHEV (HR)]]+Tabelle3[[#This Row],[Benzin-PHEV]]</f>
        <v>408.93171270831306</v>
      </c>
      <c r="O71" s="12">
        <f>Tabelle3[[#This Row],[Diesel-PHEV (HR)]]+Tabelle3[[#This Row],[Diesel-PHEV]]</f>
        <v>32.613650685054822</v>
      </c>
      <c r="P71" s="18">
        <f>Tabelle3[[#This Row],[BE 23 GES]]+Tabelle3[[#This Row],[NZL GESAMT]]</f>
        <v>36624</v>
      </c>
    </row>
    <row r="72" spans="1:16" x14ac:dyDescent="0.3">
      <c r="A72" s="13" t="s">
        <v>54</v>
      </c>
      <c r="B72" s="38">
        <f>Tabelle3[[#This Row],[BEV BE 06/24]]/Tabelle3[[#This Row],[BE 06/24]]</f>
        <v>2.4057873485868103E-2</v>
      </c>
      <c r="C72" s="39">
        <f t="shared" si="1"/>
        <v>2</v>
      </c>
      <c r="D72" s="8" t="s">
        <v>121</v>
      </c>
      <c r="E72" s="17">
        <v>646</v>
      </c>
      <c r="F72" s="12">
        <v>190.37891106688019</v>
      </c>
      <c r="G72" s="12">
        <v>11.64773238751958</v>
      </c>
      <c r="H72" s="18">
        <v>29183</v>
      </c>
      <c r="I72" s="17">
        <v>69</v>
      </c>
      <c r="J72" s="12">
        <v>30.088621001949456</v>
      </c>
      <c r="K72" s="12">
        <v>1.164773238751958</v>
      </c>
      <c r="L72" s="18">
        <v>537</v>
      </c>
      <c r="M72" s="17">
        <f>Tabelle3[[#This Row],[BEV BE 23]]+Tabelle3[[#This Row],[BEV NZL]]</f>
        <v>715</v>
      </c>
      <c r="N72" s="12">
        <f>Tabelle3[[#This Row],[Benzin-PHEV (HR)]]+Tabelle3[[#This Row],[Benzin-PHEV]]</f>
        <v>220.46753206882966</v>
      </c>
      <c r="O72" s="12">
        <f>Tabelle3[[#This Row],[Diesel-PHEV (HR)]]+Tabelle3[[#This Row],[Diesel-PHEV]]</f>
        <v>12.812505626271538</v>
      </c>
      <c r="P72" s="18">
        <f>Tabelle3[[#This Row],[BE 23 GES]]+Tabelle3[[#This Row],[NZL GESAMT]]</f>
        <v>29720</v>
      </c>
    </row>
    <row r="73" spans="1:16" x14ac:dyDescent="0.3">
      <c r="A73" s="13" t="s">
        <v>56</v>
      </c>
      <c r="B73" s="38">
        <f>Tabelle3[[#This Row],[BEV BE 06/24]]/Tabelle3[[#This Row],[BE 06/24]]</f>
        <v>2.122325888229196E-2</v>
      </c>
      <c r="C73" s="39">
        <f t="shared" si="1"/>
        <v>2</v>
      </c>
      <c r="D73" s="8" t="s">
        <v>120</v>
      </c>
      <c r="E73" s="17">
        <f>535+462</f>
        <v>997</v>
      </c>
      <c r="F73" s="12">
        <v>609.70487466677582</v>
      </c>
      <c r="G73" s="12">
        <v>33.226689231766379</v>
      </c>
      <c r="H73" s="18">
        <f>35665+14821</f>
        <v>50486</v>
      </c>
      <c r="I73" s="17">
        <v>129</v>
      </c>
      <c r="J73" s="12">
        <v>229.49411836941448</v>
      </c>
      <c r="K73" s="12">
        <v>9.9925283113983774</v>
      </c>
      <c r="L73" s="18">
        <v>2569</v>
      </c>
      <c r="M73" s="17">
        <f>Tabelle3[[#This Row],[BEV BE 23]]+Tabelle3[[#This Row],[BEV NZL]]</f>
        <v>1126</v>
      </c>
      <c r="N73" s="12">
        <f>Tabelle3[[#This Row],[Benzin-PHEV (HR)]]+Tabelle3[[#This Row],[Benzin-PHEV]]</f>
        <v>839.19899303619036</v>
      </c>
      <c r="O73" s="12">
        <f>Tabelle3[[#This Row],[Diesel-PHEV (HR)]]+Tabelle3[[#This Row],[Diesel-PHEV]]</f>
        <v>43.21921754316476</v>
      </c>
      <c r="P73" s="18">
        <f>Tabelle3[[#This Row],[BE 23 GES]]+Tabelle3[[#This Row],[NZL GESAMT]]</f>
        <v>53055</v>
      </c>
    </row>
    <row r="74" spans="1:16" x14ac:dyDescent="0.3">
      <c r="A74" s="13" t="s">
        <v>57</v>
      </c>
      <c r="B74" s="38">
        <f>Tabelle3[[#This Row],[BEV BE 06/24]]/Tabelle3[[#This Row],[BE 06/24]]</f>
        <v>1.8671324459435042E-2</v>
      </c>
      <c r="C74" s="39">
        <f t="shared" si="1"/>
        <v>1</v>
      </c>
      <c r="D74" s="8" t="s">
        <v>115</v>
      </c>
      <c r="E74" s="17">
        <v>300</v>
      </c>
      <c r="F74" s="12">
        <v>161.3844217377289</v>
      </c>
      <c r="G74" s="12">
        <v>6.804727868498281</v>
      </c>
      <c r="H74" s="18">
        <v>16371</v>
      </c>
      <c r="I74" s="17">
        <v>10</v>
      </c>
      <c r="J74" s="12">
        <v>25.165028474357726</v>
      </c>
      <c r="K74" s="12">
        <v>0.24521541868462274</v>
      </c>
      <c r="L74" s="18">
        <v>232</v>
      </c>
      <c r="M74" s="17">
        <f>Tabelle3[[#This Row],[BEV BE 23]]+Tabelle3[[#This Row],[BEV NZL]]</f>
        <v>310</v>
      </c>
      <c r="N74" s="12">
        <f>Tabelle3[[#This Row],[Benzin-PHEV (HR)]]+Tabelle3[[#This Row],[Benzin-PHEV]]</f>
        <v>186.54945021208664</v>
      </c>
      <c r="O74" s="12">
        <f>Tabelle3[[#This Row],[Diesel-PHEV (HR)]]+Tabelle3[[#This Row],[Diesel-PHEV]]</f>
        <v>7.049943287182904</v>
      </c>
      <c r="P74" s="18">
        <f>Tabelle3[[#This Row],[BE 23 GES]]+Tabelle3[[#This Row],[NZL GESAMT]]</f>
        <v>16603</v>
      </c>
    </row>
    <row r="75" spans="1:16" x14ac:dyDescent="0.3">
      <c r="A75" s="13" t="s">
        <v>58</v>
      </c>
      <c r="B75" s="38">
        <f>Tabelle3[[#This Row],[BEV BE 06/24]]/Tabelle3[[#This Row],[BE 06/24]]</f>
        <v>4.0452261306532664E-2</v>
      </c>
      <c r="C75" s="39">
        <f t="shared" si="1"/>
        <v>4</v>
      </c>
      <c r="D75" s="8" t="s">
        <v>117</v>
      </c>
      <c r="E75" s="17">
        <v>3458</v>
      </c>
      <c r="F75" s="12">
        <v>1053.1017350682309</v>
      </c>
      <c r="G75" s="12">
        <v>75.158525826836865</v>
      </c>
      <c r="H75" s="18">
        <v>100849</v>
      </c>
      <c r="I75" s="17">
        <v>728</v>
      </c>
      <c r="J75" s="12">
        <v>157.82849380113487</v>
      </c>
      <c r="K75" s="12">
        <v>8.2760203806060169</v>
      </c>
      <c r="L75" s="18">
        <v>2631</v>
      </c>
      <c r="M75" s="17">
        <f>Tabelle3[[#This Row],[BEV BE 23]]+Tabelle3[[#This Row],[BEV NZL]]</f>
        <v>4186</v>
      </c>
      <c r="N75" s="12">
        <f>Tabelle3[[#This Row],[Benzin-PHEV (HR)]]+Tabelle3[[#This Row],[Benzin-PHEV]]</f>
        <v>1210.9302288693657</v>
      </c>
      <c r="O75" s="12">
        <f>Tabelle3[[#This Row],[Diesel-PHEV (HR)]]+Tabelle3[[#This Row],[Diesel-PHEV]]</f>
        <v>83.434546207442878</v>
      </c>
      <c r="P75" s="18">
        <f>Tabelle3[[#This Row],[BE 23 GES]]+Tabelle3[[#This Row],[NZL GESAMT]]</f>
        <v>103480</v>
      </c>
    </row>
    <row r="76" spans="1:16" x14ac:dyDescent="0.3">
      <c r="A76" s="13" t="s">
        <v>61</v>
      </c>
      <c r="B76" s="38">
        <f>Tabelle3[[#This Row],[BEV BE 06/24]]/Tabelle3[[#This Row],[BE 06/24]]</f>
        <v>2.2417013938784307E-2</v>
      </c>
      <c r="C76" s="39">
        <f t="shared" si="1"/>
        <v>2</v>
      </c>
      <c r="D76" s="8" t="s">
        <v>113</v>
      </c>
      <c r="E76" s="17">
        <v>551</v>
      </c>
      <c r="F76" s="12">
        <v>172.59927138391006</v>
      </c>
      <c r="G76" s="12">
        <v>14.099886574365808</v>
      </c>
      <c r="H76" s="18">
        <v>27524</v>
      </c>
      <c r="I76" s="17">
        <v>73</v>
      </c>
      <c r="J76" s="12">
        <v>21.335567619564159</v>
      </c>
      <c r="K76" s="12">
        <v>0.24521541868462274</v>
      </c>
      <c r="L76" s="18">
        <v>312</v>
      </c>
      <c r="M76" s="17">
        <f>Tabelle3[[#This Row],[BEV BE 23]]+Tabelle3[[#This Row],[BEV NZL]]</f>
        <v>624</v>
      </c>
      <c r="N76" s="12">
        <f>Tabelle3[[#This Row],[Benzin-PHEV (HR)]]+Tabelle3[[#This Row],[Benzin-PHEV]]</f>
        <v>193.93483900347422</v>
      </c>
      <c r="O76" s="12">
        <f>Tabelle3[[#This Row],[Diesel-PHEV (HR)]]+Tabelle3[[#This Row],[Diesel-PHEV]]</f>
        <v>14.345101993050431</v>
      </c>
      <c r="P76" s="18">
        <f>Tabelle3[[#This Row],[BE 23 GES]]+Tabelle3[[#This Row],[NZL GESAMT]]</f>
        <v>27836</v>
      </c>
    </row>
    <row r="77" spans="1:16" x14ac:dyDescent="0.3">
      <c r="A77" s="13" t="s">
        <v>63</v>
      </c>
      <c r="B77" s="38">
        <f>Tabelle3[[#This Row],[BEV BE 06/24]]/Tabelle3[[#This Row],[BE 06/24]]</f>
        <v>2.6970080067425201E-2</v>
      </c>
      <c r="C77" s="39">
        <f t="shared" si="1"/>
        <v>2</v>
      </c>
      <c r="D77" s="8" t="s">
        <v>115</v>
      </c>
      <c r="E77" s="17">
        <v>1349</v>
      </c>
      <c r="F77" s="12">
        <v>351.21626696820999</v>
      </c>
      <c r="G77" s="12">
        <v>20.965918297535243</v>
      </c>
      <c r="H77" s="18">
        <v>53674</v>
      </c>
      <c r="I77" s="17">
        <v>123</v>
      </c>
      <c r="J77" s="12">
        <v>50.877122785114537</v>
      </c>
      <c r="K77" s="12">
        <v>1.4099886574365808</v>
      </c>
      <c r="L77" s="18">
        <v>905</v>
      </c>
      <c r="M77" s="17">
        <f>Tabelle3[[#This Row],[BEV BE 23]]+Tabelle3[[#This Row],[BEV NZL]]</f>
        <v>1472</v>
      </c>
      <c r="N77" s="12">
        <f>Tabelle3[[#This Row],[Benzin-PHEV (HR)]]+Tabelle3[[#This Row],[Benzin-PHEV]]</f>
        <v>402.09338975332452</v>
      </c>
      <c r="O77" s="12">
        <f>Tabelle3[[#This Row],[Diesel-PHEV (HR)]]+Tabelle3[[#This Row],[Diesel-PHEV]]</f>
        <v>22.375906954971825</v>
      </c>
      <c r="P77" s="18">
        <f>Tabelle3[[#This Row],[BE 23 GES]]+Tabelle3[[#This Row],[NZL GESAMT]]</f>
        <v>54579</v>
      </c>
    </row>
    <row r="78" spans="1:16" x14ac:dyDescent="0.3">
      <c r="A78" s="13" t="s">
        <v>64</v>
      </c>
      <c r="B78" s="38">
        <f>Tabelle3[[#This Row],[BEV BE 06/24]]/Tabelle3[[#This Row],[BE 06/24]]</f>
        <v>2.7429825363445185E-2</v>
      </c>
      <c r="C78" s="39">
        <f t="shared" si="1"/>
        <v>2</v>
      </c>
      <c r="D78" s="8" t="s">
        <v>115</v>
      </c>
      <c r="E78" s="17">
        <v>1350</v>
      </c>
      <c r="F78" s="12">
        <v>401.27279099872595</v>
      </c>
      <c r="G78" s="12">
        <v>18.881587238715952</v>
      </c>
      <c r="H78" s="18">
        <v>53762</v>
      </c>
      <c r="I78" s="17">
        <v>150</v>
      </c>
      <c r="J78" s="12">
        <v>59.356643249300291</v>
      </c>
      <c r="K78" s="12">
        <v>2.2682426228327603</v>
      </c>
      <c r="L78" s="18">
        <v>923</v>
      </c>
      <c r="M78" s="17">
        <f>Tabelle3[[#This Row],[BEV BE 23]]+Tabelle3[[#This Row],[BEV NZL]]</f>
        <v>1500</v>
      </c>
      <c r="N78" s="12">
        <f>Tabelle3[[#This Row],[Benzin-PHEV (HR)]]+Tabelle3[[#This Row],[Benzin-PHEV]]</f>
        <v>460.62943424802626</v>
      </c>
      <c r="O78" s="12">
        <f>Tabelle3[[#This Row],[Diesel-PHEV (HR)]]+Tabelle3[[#This Row],[Diesel-PHEV]]</f>
        <v>21.14982986154871</v>
      </c>
      <c r="P78" s="18">
        <f>Tabelle3[[#This Row],[BE 23 GES]]+Tabelle3[[#This Row],[NZL GESAMT]]</f>
        <v>54685</v>
      </c>
    </row>
    <row r="79" spans="1:16" x14ac:dyDescent="0.3">
      <c r="A79" s="13" t="s">
        <v>65</v>
      </c>
      <c r="B79" s="38">
        <f>Tabelle3[[#This Row],[BEV BE 06/24]]/Tabelle3[[#This Row],[BE 06/24]]</f>
        <v>4.9599833936849871E-2</v>
      </c>
      <c r="C79" s="39">
        <f t="shared" si="1"/>
        <v>4</v>
      </c>
      <c r="D79" s="8" t="s">
        <v>115</v>
      </c>
      <c r="E79" s="17">
        <v>3701</v>
      </c>
      <c r="F79" s="12">
        <v>1157.8648427386549</v>
      </c>
      <c r="G79" s="12">
        <v>86.928865923698766</v>
      </c>
      <c r="H79" s="18">
        <v>82489</v>
      </c>
      <c r="I79" s="17">
        <v>600</v>
      </c>
      <c r="J79" s="12">
        <v>187.09651604848571</v>
      </c>
      <c r="K79" s="12">
        <v>14.345101993050431</v>
      </c>
      <c r="L79" s="18">
        <v>4225</v>
      </c>
      <c r="M79" s="17">
        <f>Tabelle3[[#This Row],[BEV BE 23]]+Tabelle3[[#This Row],[BEV NZL]]</f>
        <v>4301</v>
      </c>
      <c r="N79" s="12">
        <f>Tabelle3[[#This Row],[Benzin-PHEV (HR)]]+Tabelle3[[#This Row],[Benzin-PHEV]]</f>
        <v>1344.9613587871406</v>
      </c>
      <c r="O79" s="12">
        <f>Tabelle3[[#This Row],[Diesel-PHEV (HR)]]+Tabelle3[[#This Row],[Diesel-PHEV]]</f>
        <v>101.2739679167492</v>
      </c>
      <c r="P79" s="18">
        <f>Tabelle3[[#This Row],[BE 23 GES]]+Tabelle3[[#This Row],[NZL GESAMT]]</f>
        <v>86714</v>
      </c>
    </row>
    <row r="80" spans="1:16" x14ac:dyDescent="0.3">
      <c r="A80" s="13" t="s">
        <v>66</v>
      </c>
      <c r="B80" s="38">
        <f>Tabelle3[[#This Row],[BEV BE 06/24]]/Tabelle3[[#This Row],[BE 06/24]]</f>
        <v>1.720313767919935E-2</v>
      </c>
      <c r="C80" s="39">
        <f t="shared" si="1"/>
        <v>1</v>
      </c>
      <c r="D80" s="8" t="s">
        <v>120</v>
      </c>
      <c r="E80" s="17">
        <v>294</v>
      </c>
      <c r="F80" s="12">
        <v>141.96358454556153</v>
      </c>
      <c r="G80" s="12">
        <v>8.8890589273175742</v>
      </c>
      <c r="H80" s="18">
        <v>18233</v>
      </c>
      <c r="I80" s="17">
        <v>24</v>
      </c>
      <c r="J80" s="12">
        <v>25.438561392557268</v>
      </c>
      <c r="K80" s="12">
        <v>0.8582539653961796</v>
      </c>
      <c r="L80" s="18">
        <v>252</v>
      </c>
      <c r="M80" s="17">
        <f>Tabelle3[[#This Row],[BEV BE 23]]+Tabelle3[[#This Row],[BEV NZL]]</f>
        <v>318</v>
      </c>
      <c r="N80" s="12">
        <f>Tabelle3[[#This Row],[Benzin-PHEV (HR)]]+Tabelle3[[#This Row],[Benzin-PHEV]]</f>
        <v>167.40214593811879</v>
      </c>
      <c r="O80" s="12">
        <f>Tabelle3[[#This Row],[Diesel-PHEV (HR)]]+Tabelle3[[#This Row],[Diesel-PHEV]]</f>
        <v>9.7473128927137545</v>
      </c>
      <c r="P80" s="18">
        <f>Tabelle3[[#This Row],[BE 23 GES]]+Tabelle3[[#This Row],[NZL GESAMT]]</f>
        <v>18485</v>
      </c>
    </row>
    <row r="81" spans="1:16" x14ac:dyDescent="0.3">
      <c r="A81" s="13" t="s">
        <v>67</v>
      </c>
      <c r="B81" s="38">
        <f>Tabelle3[[#This Row],[BEV BE 06/24]]/Tabelle3[[#This Row],[BE 06/24]]</f>
        <v>1.8407432271477141E-2</v>
      </c>
      <c r="C81" s="39">
        <f t="shared" si="1"/>
        <v>1</v>
      </c>
      <c r="D81" s="8" t="s">
        <v>120</v>
      </c>
      <c r="E81" s="17">
        <v>766</v>
      </c>
      <c r="F81" s="12">
        <v>452.14991378384047</v>
      </c>
      <c r="G81" s="12">
        <v>27.770646166033526</v>
      </c>
      <c r="H81" s="18">
        <v>45081</v>
      </c>
      <c r="I81" s="17">
        <v>84</v>
      </c>
      <c r="J81" s="12">
        <v>70.297959977281906</v>
      </c>
      <c r="K81" s="12">
        <v>4.0460544082962748</v>
      </c>
      <c r="L81" s="18">
        <v>1096</v>
      </c>
      <c r="M81" s="17">
        <f>Tabelle3[[#This Row],[BEV BE 23]]+Tabelle3[[#This Row],[BEV NZL]]</f>
        <v>850</v>
      </c>
      <c r="N81" s="12">
        <f>Tabelle3[[#This Row],[Benzin-PHEV (HR)]]+Tabelle3[[#This Row],[Benzin-PHEV]]</f>
        <v>522.44787376112242</v>
      </c>
      <c r="O81" s="12">
        <f>Tabelle3[[#This Row],[Diesel-PHEV (HR)]]+Tabelle3[[#This Row],[Diesel-PHEV]]</f>
        <v>31.816700574329801</v>
      </c>
      <c r="P81" s="18">
        <f>Tabelle3[[#This Row],[BE 23 GES]]+Tabelle3[[#This Row],[NZL GESAMT]]</f>
        <v>46177</v>
      </c>
    </row>
    <row r="82" spans="1:16" x14ac:dyDescent="0.3">
      <c r="A82" s="86" t="s">
        <v>69</v>
      </c>
      <c r="B82" s="38">
        <f>Tabelle3[[#This Row],[BEV BE 06/24]]/Tabelle3[[#This Row],[BE 06/24]]</f>
        <v>1.7819812529503001E-2</v>
      </c>
      <c r="C82" s="39">
        <f t="shared" si="1"/>
        <v>1</v>
      </c>
      <c r="D82" s="8" t="s">
        <v>115</v>
      </c>
      <c r="E82" s="17">
        <v>960</v>
      </c>
      <c r="F82" s="12">
        <v>487.43566023158121</v>
      </c>
      <c r="G82" s="12">
        <v>19.126802657400575</v>
      </c>
      <c r="H82" s="18">
        <v>58459</v>
      </c>
      <c r="I82" s="17">
        <v>97</v>
      </c>
      <c r="J82" s="12">
        <v>63.733169940492935</v>
      </c>
      <c r="K82" s="12">
        <v>1.4712925121077365</v>
      </c>
      <c r="L82" s="18">
        <v>857</v>
      </c>
      <c r="M82" s="17">
        <f>Tabelle3[[#This Row],[BEV BE 23]]+Tabelle3[[#This Row],[BEV NZL]]</f>
        <v>1057</v>
      </c>
      <c r="N82" s="12">
        <f>Tabelle3[[#This Row],[Benzin-PHEV (HR)]]+Tabelle3[[#This Row],[Benzin-PHEV]]</f>
        <v>551.16883017207419</v>
      </c>
      <c r="O82" s="12">
        <f>Tabelle3[[#This Row],[Diesel-PHEV (HR)]]+Tabelle3[[#This Row],[Diesel-PHEV]]</f>
        <v>20.598095169508312</v>
      </c>
      <c r="P82" s="18">
        <f>Tabelle3[[#This Row],[BE 23 GES]]+Tabelle3[[#This Row],[NZL GESAMT]]</f>
        <v>59316</v>
      </c>
    </row>
    <row r="83" spans="1:16" x14ac:dyDescent="0.3">
      <c r="A83" s="13" t="s">
        <v>70</v>
      </c>
      <c r="B83" s="38">
        <f>Tabelle3[[#This Row],[BEV BE 06/24]]/Tabelle3[[#This Row],[BE 06/24]]</f>
        <v>2.6007139214686385E-2</v>
      </c>
      <c r="C83" s="39">
        <f t="shared" si="1"/>
        <v>2</v>
      </c>
      <c r="D83" s="8" t="s">
        <v>113</v>
      </c>
      <c r="E83" s="17">
        <v>917</v>
      </c>
      <c r="F83" s="12">
        <v>297.60381500110009</v>
      </c>
      <c r="G83" s="12">
        <v>20.04636047746791</v>
      </c>
      <c r="H83" s="18">
        <v>40318</v>
      </c>
      <c r="I83" s="17">
        <v>154</v>
      </c>
      <c r="J83" s="12">
        <v>42.124069402729241</v>
      </c>
      <c r="K83" s="12">
        <v>2.3908503321750718</v>
      </c>
      <c r="L83" s="18">
        <v>863</v>
      </c>
      <c r="M83" s="17">
        <f>Tabelle3[[#This Row],[BEV BE 23]]+Tabelle3[[#This Row],[BEV NZL]]</f>
        <v>1071</v>
      </c>
      <c r="N83" s="12">
        <f>Tabelle3[[#This Row],[Benzin-PHEV (HR)]]+Tabelle3[[#This Row],[Benzin-PHEV]]</f>
        <v>339.72788440382931</v>
      </c>
      <c r="O83" s="12">
        <f>Tabelle3[[#This Row],[Diesel-PHEV (HR)]]+Tabelle3[[#This Row],[Diesel-PHEV]]</f>
        <v>22.437210809642984</v>
      </c>
      <c r="P83" s="18">
        <f>Tabelle3[[#This Row],[BE 23 GES]]+Tabelle3[[#This Row],[NZL GESAMT]]</f>
        <v>41181</v>
      </c>
    </row>
    <row r="84" spans="1:16" x14ac:dyDescent="0.3">
      <c r="A84" s="13" t="s">
        <v>71</v>
      </c>
      <c r="B84" s="38">
        <f>Tabelle3[[#This Row],[BEV BE 06/24]]/Tabelle3[[#This Row],[BE 06/24]]</f>
        <v>2.1854850802219224E-2</v>
      </c>
      <c r="C84" s="39">
        <f t="shared" si="1"/>
        <v>2</v>
      </c>
      <c r="D84" s="8" t="s">
        <v>113</v>
      </c>
      <c r="E84" s="17">
        <v>526</v>
      </c>
      <c r="F84" s="12">
        <v>182.44645643909351</v>
      </c>
      <c r="G84" s="12">
        <v>12.812505626271538</v>
      </c>
      <c r="H84" s="18">
        <v>26242</v>
      </c>
      <c r="I84" s="17">
        <v>57</v>
      </c>
      <c r="J84" s="12">
        <v>22.429699292362322</v>
      </c>
      <c r="K84" s="12">
        <v>1.164773238751958</v>
      </c>
      <c r="L84" s="18">
        <v>434</v>
      </c>
      <c r="M84" s="17">
        <f>Tabelle3[[#This Row],[BEV BE 23]]+Tabelle3[[#This Row],[BEV NZL]]</f>
        <v>583</v>
      </c>
      <c r="N84" s="12">
        <f>Tabelle3[[#This Row],[Benzin-PHEV (HR)]]+Tabelle3[[#This Row],[Benzin-PHEV]]</f>
        <v>204.87615573145584</v>
      </c>
      <c r="O84" s="12">
        <f>Tabelle3[[#This Row],[Diesel-PHEV (HR)]]+Tabelle3[[#This Row],[Diesel-PHEV]]</f>
        <v>13.977278865023496</v>
      </c>
      <c r="P84" s="18">
        <f>Tabelle3[[#This Row],[BE 23 GES]]+Tabelle3[[#This Row],[NZL GESAMT]]</f>
        <v>26676</v>
      </c>
    </row>
    <row r="85" spans="1:16" x14ac:dyDescent="0.3">
      <c r="A85" s="13" t="s">
        <v>72</v>
      </c>
      <c r="B85" s="38">
        <f>Tabelle3[[#This Row],[BEV BE 06/24]]/Tabelle3[[#This Row],[BE 06/24]]</f>
        <v>2.3658263874771296E-2</v>
      </c>
      <c r="C85" s="39">
        <f t="shared" si="1"/>
        <v>2</v>
      </c>
      <c r="D85" s="8" t="s">
        <v>113</v>
      </c>
      <c r="E85" s="17">
        <v>817</v>
      </c>
      <c r="F85" s="12">
        <v>268.88285859014832</v>
      </c>
      <c r="G85" s="12">
        <v>19.249410366742886</v>
      </c>
      <c r="H85" s="18">
        <v>38516</v>
      </c>
      <c r="I85" s="17">
        <v>114</v>
      </c>
      <c r="J85" s="12">
        <v>57.988978658302585</v>
      </c>
      <c r="K85" s="12">
        <v>2.6360657508596943</v>
      </c>
      <c r="L85" s="18">
        <v>836</v>
      </c>
      <c r="M85" s="17">
        <f>Tabelle3[[#This Row],[BEV BE 23]]+Tabelle3[[#This Row],[BEV NZL]]</f>
        <v>931</v>
      </c>
      <c r="N85" s="12">
        <f>Tabelle3[[#This Row],[Benzin-PHEV (HR)]]+Tabelle3[[#This Row],[Benzin-PHEV]]</f>
        <v>326.8718372484509</v>
      </c>
      <c r="O85" s="12">
        <f>Tabelle3[[#This Row],[Diesel-PHEV (HR)]]+Tabelle3[[#This Row],[Diesel-PHEV]]</f>
        <v>21.885476117602579</v>
      </c>
      <c r="P85" s="18">
        <f>Tabelle3[[#This Row],[BE 23 GES]]+Tabelle3[[#This Row],[NZL GESAMT]]</f>
        <v>39352</v>
      </c>
    </row>
    <row r="86" spans="1:16" x14ac:dyDescent="0.3">
      <c r="A86" s="13" t="s">
        <v>75</v>
      </c>
      <c r="B86" s="38">
        <f>Tabelle3[[#This Row],[BEV BE 06/24]]/Tabelle3[[#This Row],[BE 06/24]]</f>
        <v>2.9957682155277162E-2</v>
      </c>
      <c r="C86" s="39">
        <f t="shared" si="1"/>
        <v>2</v>
      </c>
      <c r="D86" s="8" t="s">
        <v>117</v>
      </c>
      <c r="E86" s="17">
        <v>1270</v>
      </c>
      <c r="F86" s="12">
        <v>381.30488797015948</v>
      </c>
      <c r="G86" s="12">
        <v>23.050249356354538</v>
      </c>
      <c r="H86" s="18">
        <v>46789</v>
      </c>
      <c r="I86" s="17">
        <v>160</v>
      </c>
      <c r="J86" s="12">
        <v>50.056524030515916</v>
      </c>
      <c r="K86" s="12">
        <v>1.8391156401346704</v>
      </c>
      <c r="L86" s="18">
        <v>945</v>
      </c>
      <c r="M86" s="17">
        <f>Tabelle3[[#This Row],[BEV BE 23]]+Tabelle3[[#This Row],[BEV NZL]]</f>
        <v>1430</v>
      </c>
      <c r="N86" s="12">
        <f>Tabelle3[[#This Row],[Benzin-PHEV (HR)]]+Tabelle3[[#This Row],[Benzin-PHEV]]</f>
        <v>431.36141200067539</v>
      </c>
      <c r="O86" s="12">
        <f>Tabelle3[[#This Row],[Diesel-PHEV (HR)]]+Tabelle3[[#This Row],[Diesel-PHEV]]</f>
        <v>24.88936499648921</v>
      </c>
      <c r="P86" s="18">
        <f>Tabelle3[[#This Row],[BE 23 GES]]+Tabelle3[[#This Row],[NZL GESAMT]]</f>
        <v>47734</v>
      </c>
    </row>
    <row r="87" spans="1:16" x14ac:dyDescent="0.3">
      <c r="A87" s="13" t="s">
        <v>77</v>
      </c>
      <c r="B87" s="38">
        <f>Tabelle3[[#This Row],[BEV BE 06/24]]/Tabelle3[[#This Row],[BE 06/24]]</f>
        <v>2.8045130094404791E-2</v>
      </c>
      <c r="C87" s="39">
        <f t="shared" si="1"/>
        <v>2</v>
      </c>
      <c r="D87" s="8" t="s">
        <v>121</v>
      </c>
      <c r="E87" s="17">
        <v>498</v>
      </c>
      <c r="F87" s="12">
        <v>224.84405876002231</v>
      </c>
      <c r="G87" s="12">
        <v>9.1342743460021971</v>
      </c>
      <c r="H87" s="18">
        <v>20471</v>
      </c>
      <c r="I87" s="17">
        <v>111</v>
      </c>
      <c r="J87" s="12">
        <v>54.980116558107639</v>
      </c>
      <c r="K87" s="12">
        <v>9.624705183371443</v>
      </c>
      <c r="L87" s="18">
        <v>1244</v>
      </c>
      <c r="M87" s="17">
        <f>Tabelle3[[#This Row],[BEV BE 23]]+Tabelle3[[#This Row],[BEV NZL]]</f>
        <v>609</v>
      </c>
      <c r="N87" s="12">
        <f>Tabelle3[[#This Row],[Benzin-PHEV (HR)]]+Tabelle3[[#This Row],[Benzin-PHEV]]</f>
        <v>279.82417531812996</v>
      </c>
      <c r="O87" s="12">
        <f>Tabelle3[[#This Row],[Diesel-PHEV (HR)]]+Tabelle3[[#This Row],[Diesel-PHEV]]</f>
        <v>18.75897952937364</v>
      </c>
      <c r="P87" s="18">
        <f>Tabelle3[[#This Row],[BE 23 GES]]+Tabelle3[[#This Row],[NZL GESAMT]]</f>
        <v>21715</v>
      </c>
    </row>
    <row r="88" spans="1:16" x14ac:dyDescent="0.3">
      <c r="A88" s="87" t="s">
        <v>162</v>
      </c>
      <c r="B88" s="40">
        <f>Tabelle3[[#This Row],[BEV BE 06/24]]/Tabelle3[[#This Row],[BE 06/24]]</f>
        <v>4.1397124887690928E-2</v>
      </c>
      <c r="C88" s="41">
        <f t="shared" si="1"/>
        <v>4</v>
      </c>
      <c r="D88" s="8" t="s">
        <v>117</v>
      </c>
      <c r="E88" s="17">
        <v>1613</v>
      </c>
      <c r="F88" s="12">
        <v>312.92165842027435</v>
      </c>
      <c r="G88" s="12">
        <v>22.00808382694489</v>
      </c>
      <c r="H88" s="18">
        <v>43463</v>
      </c>
      <c r="I88" s="17">
        <v>230</v>
      </c>
      <c r="J88" s="12">
        <v>94.09532386064194</v>
      </c>
      <c r="K88" s="12">
        <v>2.8199773148731615</v>
      </c>
      <c r="L88" s="18">
        <v>1057</v>
      </c>
      <c r="M88" s="17">
        <f>Tabelle3[[#This Row],[BEV BE 23]]+Tabelle3[[#This Row],[BEV NZL]]</f>
        <v>1843</v>
      </c>
      <c r="N88" s="12">
        <f>Tabelle3[[#This Row],[Benzin-PHEV (HR)]]+Tabelle3[[#This Row],[Benzin-PHEV]]</f>
        <v>407.0169822809163</v>
      </c>
      <c r="O88" s="12">
        <f>Tabelle3[[#This Row],[Diesel-PHEV (HR)]]+Tabelle3[[#This Row],[Diesel-PHEV]]</f>
        <v>24.828061141818051</v>
      </c>
      <c r="P88" s="18">
        <f>Tabelle3[[#This Row],[BE 23 GES]]+Tabelle3[[#This Row],[NZL GESAMT]]</f>
        <v>44520</v>
      </c>
    </row>
    <row r="89" spans="1:16" x14ac:dyDescent="0.3">
      <c r="A89" s="13" t="s">
        <v>78</v>
      </c>
      <c r="B89" s="38">
        <f>Tabelle3[[#This Row],[BEV BE 06/24]]/Tabelle3[[#This Row],[BE 06/24]]</f>
        <v>3.1591371386956633E-2</v>
      </c>
      <c r="C89" s="39">
        <f t="shared" si="1"/>
        <v>3</v>
      </c>
      <c r="D89" s="8" t="s">
        <v>117</v>
      </c>
      <c r="E89" s="17">
        <v>1133</v>
      </c>
      <c r="F89" s="12">
        <v>174.51400181130685</v>
      </c>
      <c r="G89" s="12">
        <v>13.793367301010029</v>
      </c>
      <c r="H89" s="18">
        <v>39293</v>
      </c>
      <c r="I89" s="17">
        <v>125</v>
      </c>
      <c r="J89" s="12">
        <v>28.994489329151293</v>
      </c>
      <c r="K89" s="12">
        <v>1.7778117854635149</v>
      </c>
      <c r="L89" s="18">
        <v>528</v>
      </c>
      <c r="M89" s="17">
        <f>Tabelle3[[#This Row],[BEV BE 23]]+Tabelle3[[#This Row],[BEV NZL]]</f>
        <v>1258</v>
      </c>
      <c r="N89" s="12">
        <f>Tabelle3[[#This Row],[Benzin-PHEV (HR)]]+Tabelle3[[#This Row],[Benzin-PHEV]]</f>
        <v>203.50849114045815</v>
      </c>
      <c r="O89" s="12">
        <f>Tabelle3[[#This Row],[Diesel-PHEV (HR)]]+Tabelle3[[#This Row],[Diesel-PHEV]]</f>
        <v>15.571179086473544</v>
      </c>
      <c r="P89" s="18">
        <f>Tabelle3[[#This Row],[BE 23 GES]]+Tabelle3[[#This Row],[NZL GESAMT]]</f>
        <v>39821</v>
      </c>
    </row>
    <row r="90" spans="1:16" x14ac:dyDescent="0.3">
      <c r="A90" s="89" t="s">
        <v>191</v>
      </c>
      <c r="B90" s="38">
        <f>Tabelle3[[#This Row],[BEV BE 06/24]]/Tabelle3[[#This Row],[BE 06/24]]</f>
        <v>6.5632916250863593E-2</v>
      </c>
      <c r="C90" s="39">
        <f t="shared" si="1"/>
        <v>4</v>
      </c>
      <c r="D90" s="8" t="s">
        <v>113</v>
      </c>
      <c r="E90" s="17">
        <v>659</v>
      </c>
      <c r="F90" s="12">
        <v>145.51951248215556</v>
      </c>
      <c r="G90" s="12">
        <v>8.6438435086329513</v>
      </c>
      <c r="H90" s="18">
        <v>12271</v>
      </c>
      <c r="I90" s="17">
        <v>196</v>
      </c>
      <c r="J90" s="12">
        <v>38.021075629736131</v>
      </c>
      <c r="K90" s="12">
        <v>0.79695011072502386</v>
      </c>
      <c r="L90" s="18">
        <v>756</v>
      </c>
      <c r="M90" s="17">
        <f>Tabelle3[[#This Row],[BEV BE 23]]+Tabelle3[[#This Row],[BEV NZL]]</f>
        <v>855</v>
      </c>
      <c r="N90" s="12">
        <f>Tabelle3[[#This Row],[Benzin-PHEV (HR)]]+Tabelle3[[#This Row],[Benzin-PHEV]]</f>
        <v>183.54058811189168</v>
      </c>
      <c r="O90" s="12">
        <f>Tabelle3[[#This Row],[Diesel-PHEV (HR)]]+Tabelle3[[#This Row],[Diesel-PHEV]]</f>
        <v>9.4407936193579758</v>
      </c>
      <c r="P90" s="18">
        <f>Tabelle3[[#This Row],[BE 23 GES]]+Tabelle3[[#This Row],[NZL GESAMT]]</f>
        <v>13027</v>
      </c>
    </row>
    <row r="91" spans="1:16" x14ac:dyDescent="0.3">
      <c r="A91" s="13" t="s">
        <v>80</v>
      </c>
      <c r="B91" s="38">
        <f>Tabelle3[[#This Row],[BEV BE 06/24]]/Tabelle3[[#This Row],[BE 06/24]]</f>
        <v>5.5374669686674219E-2</v>
      </c>
      <c r="C91" s="39">
        <f t="shared" si="1"/>
        <v>4</v>
      </c>
      <c r="D91" s="8" t="s">
        <v>118</v>
      </c>
      <c r="E91" s="17">
        <v>3843</v>
      </c>
      <c r="F91" s="12">
        <v>1164.1560998572445</v>
      </c>
      <c r="G91" s="12">
        <v>107.64956880254938</v>
      </c>
      <c r="H91" s="18">
        <v>80406</v>
      </c>
      <c r="I91" s="17">
        <v>851</v>
      </c>
      <c r="J91" s="12">
        <v>279.00357656353134</v>
      </c>
      <c r="K91" s="12">
        <v>23.847199467079562</v>
      </c>
      <c r="L91" s="18">
        <v>4362</v>
      </c>
      <c r="M91" s="17">
        <f>Tabelle3[[#This Row],[BEV BE 23]]+Tabelle3[[#This Row],[BEV NZL]]</f>
        <v>4694</v>
      </c>
      <c r="N91" s="12">
        <f>Tabelle3[[#This Row],[Benzin-PHEV (HR)]]+Tabelle3[[#This Row],[Benzin-PHEV]]</f>
        <v>1443.1596764207759</v>
      </c>
      <c r="O91" s="12">
        <f>Tabelle3[[#This Row],[Diesel-PHEV (HR)]]+Tabelle3[[#This Row],[Diesel-PHEV]]</f>
        <v>131.49676826962894</v>
      </c>
      <c r="P91" s="18">
        <f>Tabelle3[[#This Row],[BE 23 GES]]+Tabelle3[[#This Row],[NZL GESAMT]]</f>
        <v>84768</v>
      </c>
    </row>
    <row r="92" spans="1:16" x14ac:dyDescent="0.3">
      <c r="A92" s="13" t="s">
        <v>119</v>
      </c>
      <c r="B92" s="38">
        <f>Tabelle3[[#This Row],[BEV BE 06/24]]/Tabelle3[[#This Row],[BE 06/24]]</f>
        <v>4.5289110654534781E-2</v>
      </c>
      <c r="C92" s="39">
        <f t="shared" ref="C92:C121" si="2">IF(B92&lt;$B$20,1,IF(B92&lt;$B$21,2,IF(B92&lt;$B$22,3,4)))</f>
        <v>4</v>
      </c>
      <c r="D92" s="8" t="s">
        <v>118</v>
      </c>
      <c r="E92" s="17">
        <v>4030</v>
      </c>
      <c r="F92" s="12">
        <v>1053.9223338228296</v>
      </c>
      <c r="G92" s="12">
        <v>91.281439605350812</v>
      </c>
      <c r="H92" s="18">
        <v>99260</v>
      </c>
      <c r="I92" s="17">
        <v>599</v>
      </c>
      <c r="J92" s="12">
        <v>175.88166640230455</v>
      </c>
      <c r="K92" s="12">
        <v>18.697675674702484</v>
      </c>
      <c r="L92" s="18">
        <v>2950</v>
      </c>
      <c r="M92" s="17">
        <f>Tabelle3[[#This Row],[BEV BE 23]]+Tabelle3[[#This Row],[BEV NZL]]</f>
        <v>4629</v>
      </c>
      <c r="N92" s="12">
        <f>Tabelle3[[#This Row],[Benzin-PHEV (HR)]]+Tabelle3[[#This Row],[Benzin-PHEV]]</f>
        <v>1229.8040002251341</v>
      </c>
      <c r="O92" s="12">
        <f>Tabelle3[[#This Row],[Diesel-PHEV (HR)]]+Tabelle3[[#This Row],[Diesel-PHEV]]</f>
        <v>109.97911528005329</v>
      </c>
      <c r="P92" s="18">
        <f>Tabelle3[[#This Row],[BE 23 GES]]+Tabelle3[[#This Row],[NZL GESAMT]]</f>
        <v>102210</v>
      </c>
    </row>
    <row r="93" spans="1:16" x14ac:dyDescent="0.3">
      <c r="A93" s="13" t="s">
        <v>81</v>
      </c>
      <c r="B93" s="38">
        <f>Tabelle3[[#This Row],[BEV BE 06/24]]/Tabelle3[[#This Row],[BE 06/24]]</f>
        <v>2.5233831841144399E-2</v>
      </c>
      <c r="C93" s="39">
        <f t="shared" si="2"/>
        <v>2</v>
      </c>
      <c r="D93" s="8" t="s">
        <v>117</v>
      </c>
      <c r="E93" s="17">
        <v>921</v>
      </c>
      <c r="F93" s="12">
        <v>207.06441907705218</v>
      </c>
      <c r="G93" s="12">
        <v>15.019444394433142</v>
      </c>
      <c r="H93" s="18">
        <v>39373</v>
      </c>
      <c r="I93" s="17">
        <v>88</v>
      </c>
      <c r="J93" s="12">
        <v>23.797363883360024</v>
      </c>
      <c r="K93" s="12">
        <v>1.4712925121077365</v>
      </c>
      <c r="L93" s="18">
        <v>613</v>
      </c>
      <c r="M93" s="17">
        <f>Tabelle3[[#This Row],[BEV BE 23]]+Tabelle3[[#This Row],[BEV NZL]]</f>
        <v>1009</v>
      </c>
      <c r="N93" s="12">
        <f>Tabelle3[[#This Row],[Benzin-PHEV (HR)]]+Tabelle3[[#This Row],[Benzin-PHEV]]</f>
        <v>230.8617829604122</v>
      </c>
      <c r="O93" s="12">
        <f>Tabelle3[[#This Row],[Diesel-PHEV (HR)]]+Tabelle3[[#This Row],[Diesel-PHEV]]</f>
        <v>16.490736906540878</v>
      </c>
      <c r="P93" s="18">
        <f>Tabelle3[[#This Row],[BE 23 GES]]+Tabelle3[[#This Row],[NZL GESAMT]]</f>
        <v>39986</v>
      </c>
    </row>
    <row r="94" spans="1:16" x14ac:dyDescent="0.3">
      <c r="A94" s="13" t="s">
        <v>82</v>
      </c>
      <c r="B94" s="38">
        <f>Tabelle3[[#This Row],[BEV BE 06/24]]/Tabelle3[[#This Row],[BE 06/24]]</f>
        <v>2.3860940984883349E-2</v>
      </c>
      <c r="C94" s="39">
        <f t="shared" si="2"/>
        <v>2</v>
      </c>
      <c r="D94" s="8" t="s">
        <v>115</v>
      </c>
      <c r="E94" s="17">
        <v>627</v>
      </c>
      <c r="F94" s="12">
        <v>189.83184523048112</v>
      </c>
      <c r="G94" s="12">
        <v>10.544263003438777</v>
      </c>
      <c r="H94" s="18">
        <v>27760</v>
      </c>
      <c r="I94" s="17">
        <v>47</v>
      </c>
      <c r="J94" s="12">
        <v>25.165028474357726</v>
      </c>
      <c r="K94" s="12">
        <v>0.79695011072502386</v>
      </c>
      <c r="L94" s="18">
        <v>487</v>
      </c>
      <c r="M94" s="17">
        <f>Tabelle3[[#This Row],[BEV BE 23]]+Tabelle3[[#This Row],[BEV NZL]]</f>
        <v>674</v>
      </c>
      <c r="N94" s="12">
        <f>Tabelle3[[#This Row],[Benzin-PHEV (HR)]]+Tabelle3[[#This Row],[Benzin-PHEV]]</f>
        <v>214.99687370483883</v>
      </c>
      <c r="O94" s="12">
        <f>Tabelle3[[#This Row],[Diesel-PHEV (HR)]]+Tabelle3[[#This Row],[Diesel-PHEV]]</f>
        <v>11.341213114163802</v>
      </c>
      <c r="P94" s="18">
        <f>Tabelle3[[#This Row],[BE 23 GES]]+Tabelle3[[#This Row],[NZL GESAMT]]</f>
        <v>28247</v>
      </c>
    </row>
    <row r="95" spans="1:16" x14ac:dyDescent="0.3">
      <c r="A95" s="13" t="s">
        <v>83</v>
      </c>
      <c r="B95" s="38">
        <f>Tabelle3[[#This Row],[BEV BE 06/24]]/Tabelle3[[#This Row],[BE 06/24]]</f>
        <v>3.8916159434517969E-2</v>
      </c>
      <c r="C95" s="39">
        <f t="shared" si="2"/>
        <v>3</v>
      </c>
      <c r="D95" s="8" t="s">
        <v>121</v>
      </c>
      <c r="E95" s="17">
        <v>1798</v>
      </c>
      <c r="F95" s="12">
        <v>595.4811629203997</v>
      </c>
      <c r="G95" s="12">
        <v>37.334047494733809</v>
      </c>
      <c r="H95" s="18">
        <v>49564</v>
      </c>
      <c r="I95" s="17">
        <v>184</v>
      </c>
      <c r="J95" s="12">
        <v>82.60694129626124</v>
      </c>
      <c r="K95" s="12">
        <v>3.8621428442828081</v>
      </c>
      <c r="L95" s="18">
        <v>1366</v>
      </c>
      <c r="M95" s="17">
        <f>Tabelle3[[#This Row],[BEV BE 23]]+Tabelle3[[#This Row],[BEV NZL]]</f>
        <v>1982</v>
      </c>
      <c r="N95" s="12">
        <f>Tabelle3[[#This Row],[Benzin-PHEV (HR)]]+Tabelle3[[#This Row],[Benzin-PHEV]]</f>
        <v>678.08810421666089</v>
      </c>
      <c r="O95" s="12">
        <f>Tabelle3[[#This Row],[Diesel-PHEV (HR)]]+Tabelle3[[#This Row],[Diesel-PHEV]]</f>
        <v>41.196190339016617</v>
      </c>
      <c r="P95" s="18">
        <f>Tabelle3[[#This Row],[BE 23 GES]]+Tabelle3[[#This Row],[NZL GESAMT]]</f>
        <v>50930</v>
      </c>
    </row>
    <row r="96" spans="1:16" x14ac:dyDescent="0.3">
      <c r="A96" s="13" t="s">
        <v>86</v>
      </c>
      <c r="B96" s="38">
        <f>Tabelle3[[#This Row],[BEV BE 06/24]]/Tabelle3[[#This Row],[BE 06/24]]</f>
        <v>1.8011427667609086E-2</v>
      </c>
      <c r="C96" s="39">
        <f t="shared" si="2"/>
        <v>1</v>
      </c>
      <c r="D96" s="8" t="s">
        <v>114</v>
      </c>
      <c r="E96" s="17">
        <v>844</v>
      </c>
      <c r="F96" s="12">
        <v>343.55734525862289</v>
      </c>
      <c r="G96" s="12">
        <v>23.908503321750718</v>
      </c>
      <c r="H96" s="18">
        <v>49852</v>
      </c>
      <c r="I96" s="17">
        <v>67</v>
      </c>
      <c r="J96" s="12">
        <v>48.141793603119126</v>
      </c>
      <c r="K96" s="12">
        <v>1.0421655294096466</v>
      </c>
      <c r="L96" s="18">
        <v>727</v>
      </c>
      <c r="M96" s="17">
        <f>Tabelle3[[#This Row],[BEV BE 23]]+Tabelle3[[#This Row],[BEV NZL]]</f>
        <v>911</v>
      </c>
      <c r="N96" s="12">
        <f>Tabelle3[[#This Row],[Benzin-PHEV (HR)]]+Tabelle3[[#This Row],[Benzin-PHEV]]</f>
        <v>391.69913886174203</v>
      </c>
      <c r="O96" s="12">
        <f>Tabelle3[[#This Row],[Diesel-PHEV (HR)]]+Tabelle3[[#This Row],[Diesel-PHEV]]</f>
        <v>24.950668851160366</v>
      </c>
      <c r="P96" s="18">
        <f>Tabelle3[[#This Row],[BE 23 GES]]+Tabelle3[[#This Row],[NZL GESAMT]]</f>
        <v>50579</v>
      </c>
    </row>
    <row r="97" spans="1:16" x14ac:dyDescent="0.3">
      <c r="A97" s="13" t="s">
        <v>87</v>
      </c>
      <c r="B97" s="38">
        <f>Tabelle3[[#This Row],[BEV BE 06/24]]/Tabelle3[[#This Row],[BE 06/24]]</f>
        <v>3.332770484190975E-2</v>
      </c>
      <c r="C97" s="39">
        <f t="shared" si="2"/>
        <v>3</v>
      </c>
      <c r="D97" s="8" t="s">
        <v>118</v>
      </c>
      <c r="E97" s="17">
        <v>1438</v>
      </c>
      <c r="F97" s="12">
        <v>475.12667891260185</v>
      </c>
      <c r="G97" s="12">
        <v>38.927947716183859</v>
      </c>
      <c r="H97" s="18">
        <v>46214</v>
      </c>
      <c r="I97" s="17">
        <v>141</v>
      </c>
      <c r="J97" s="12">
        <v>67.015564958887424</v>
      </c>
      <c r="K97" s="12">
        <v>3.7395351349404966</v>
      </c>
      <c r="L97" s="18">
        <v>1164</v>
      </c>
      <c r="M97" s="17">
        <f>Tabelle3[[#This Row],[BEV BE 23]]+Tabelle3[[#This Row],[BEV NZL]]</f>
        <v>1579</v>
      </c>
      <c r="N97" s="12">
        <f>Tabelle3[[#This Row],[Benzin-PHEV (HR)]]+Tabelle3[[#This Row],[Benzin-PHEV]]</f>
        <v>542.14224387148931</v>
      </c>
      <c r="O97" s="12">
        <f>Tabelle3[[#This Row],[Diesel-PHEV (HR)]]+Tabelle3[[#This Row],[Diesel-PHEV]]</f>
        <v>42.667482851124355</v>
      </c>
      <c r="P97" s="18">
        <f>Tabelle3[[#This Row],[BE 23 GES]]+Tabelle3[[#This Row],[NZL GESAMT]]</f>
        <v>47378</v>
      </c>
    </row>
    <row r="98" spans="1:16" x14ac:dyDescent="0.3">
      <c r="A98" s="13" t="s">
        <v>88</v>
      </c>
      <c r="B98" s="38">
        <f>Tabelle3[[#This Row],[BEV BE 06/24]]/Tabelle3[[#This Row],[BE 06/24]]</f>
        <v>3.2063741034996193E-2</v>
      </c>
      <c r="C98" s="39">
        <f t="shared" si="2"/>
        <v>3</v>
      </c>
      <c r="D98" s="8" t="s">
        <v>115</v>
      </c>
      <c r="E98" s="17">
        <v>2553</v>
      </c>
      <c r="F98" s="12">
        <v>851.78150727336913</v>
      </c>
      <c r="G98" s="12">
        <v>38.130997605458838</v>
      </c>
      <c r="H98" s="18">
        <v>86554</v>
      </c>
      <c r="I98" s="17">
        <v>268</v>
      </c>
      <c r="J98" s="12">
        <v>95.189455533440096</v>
      </c>
      <c r="K98" s="12">
        <v>3.6782312802693409</v>
      </c>
      <c r="L98" s="18">
        <v>1427</v>
      </c>
      <c r="M98" s="17">
        <f>Tabelle3[[#This Row],[BEV BE 23]]+Tabelle3[[#This Row],[BEV NZL]]</f>
        <v>2821</v>
      </c>
      <c r="N98" s="12">
        <f>Tabelle3[[#This Row],[Benzin-PHEV (HR)]]+Tabelle3[[#This Row],[Benzin-PHEV]]</f>
        <v>946.97096280680921</v>
      </c>
      <c r="O98" s="12">
        <f>Tabelle3[[#This Row],[Diesel-PHEV (HR)]]+Tabelle3[[#This Row],[Diesel-PHEV]]</f>
        <v>41.809228885728182</v>
      </c>
      <c r="P98" s="18">
        <f>Tabelle3[[#This Row],[BE 23 GES]]+Tabelle3[[#This Row],[NZL GESAMT]]</f>
        <v>87981</v>
      </c>
    </row>
    <row r="99" spans="1:16" x14ac:dyDescent="0.3">
      <c r="A99" s="86" t="s">
        <v>89</v>
      </c>
      <c r="B99" s="38">
        <f>Tabelle3[[#This Row],[BEV BE 06/24]]/Tabelle3[[#This Row],[BE 06/24]]</f>
        <v>3.7906715086762834E-2</v>
      </c>
      <c r="C99" s="39">
        <f t="shared" si="2"/>
        <v>3</v>
      </c>
      <c r="D99" s="8" t="s">
        <v>117</v>
      </c>
      <c r="E99" s="17">
        <v>3596</v>
      </c>
      <c r="F99" s="12">
        <v>1319.2492644763838</v>
      </c>
      <c r="G99" s="12">
        <v>101.8257026087896</v>
      </c>
      <c r="H99" s="18">
        <v>106488</v>
      </c>
      <c r="I99" s="17">
        <v>548</v>
      </c>
      <c r="J99" s="12">
        <v>185.72885145748802</v>
      </c>
      <c r="K99" s="12">
        <v>14.038582719694652</v>
      </c>
      <c r="L99" s="18">
        <v>2833</v>
      </c>
      <c r="M99" s="17">
        <f>Tabelle3[[#This Row],[BEV BE 23]]+Tabelle3[[#This Row],[BEV NZL]]</f>
        <v>4144</v>
      </c>
      <c r="N99" s="12">
        <f>Tabelle3[[#This Row],[Benzin-PHEV (HR)]]+Tabelle3[[#This Row],[Benzin-PHEV]]</f>
        <v>1504.9781159338718</v>
      </c>
      <c r="O99" s="12">
        <f>Tabelle3[[#This Row],[Diesel-PHEV (HR)]]+Tabelle3[[#This Row],[Diesel-PHEV]]</f>
        <v>115.86428532848424</v>
      </c>
      <c r="P99" s="18">
        <f>Tabelle3[[#This Row],[BE 23 GES]]+Tabelle3[[#This Row],[NZL GESAMT]]</f>
        <v>109321</v>
      </c>
    </row>
    <row r="100" spans="1:16" x14ac:dyDescent="0.3">
      <c r="A100" s="90" t="s">
        <v>116</v>
      </c>
      <c r="B100" s="40">
        <f>Tabelle3[[#This Row],[BEV BE 06/24]]/Tabelle3[[#This Row],[BE 06/24]]</f>
        <v>4.6782796187017701E-2</v>
      </c>
      <c r="C100" s="41">
        <f t="shared" si="2"/>
        <v>4</v>
      </c>
      <c r="D100" s="8" t="s">
        <v>115</v>
      </c>
      <c r="E100" s="17">
        <v>1446</v>
      </c>
      <c r="F100" s="12">
        <v>449.14105168364551</v>
      </c>
      <c r="G100" s="12">
        <v>27.893253875375837</v>
      </c>
      <c r="H100" s="18">
        <v>33898</v>
      </c>
      <c r="I100" s="17">
        <v>203</v>
      </c>
      <c r="J100" s="12">
        <v>98.471850551834578</v>
      </c>
      <c r="K100" s="12">
        <v>3.8621428442828081</v>
      </c>
      <c r="L100" s="18">
        <v>1350</v>
      </c>
      <c r="M100" s="17">
        <f>Tabelle3[[#This Row],[BEV BE 23]]+Tabelle3[[#This Row],[BEV NZL]]</f>
        <v>1649</v>
      </c>
      <c r="N100" s="12">
        <f>Tabelle3[[#This Row],[Benzin-PHEV (HR)]]+Tabelle3[[#This Row],[Benzin-PHEV]]</f>
        <v>547.61290223548008</v>
      </c>
      <c r="O100" s="12">
        <f>Tabelle3[[#This Row],[Diesel-PHEV (HR)]]+Tabelle3[[#This Row],[Diesel-PHEV]]</f>
        <v>31.755396719658645</v>
      </c>
      <c r="P100" s="18">
        <f>Tabelle3[[#This Row],[BE 23 GES]]+Tabelle3[[#This Row],[NZL GESAMT]]</f>
        <v>35248</v>
      </c>
    </row>
    <row r="101" spans="1:16" x14ac:dyDescent="0.3">
      <c r="A101" s="13" t="s">
        <v>90</v>
      </c>
      <c r="B101" s="38">
        <f>Tabelle3[[#This Row],[BEV BE 06/24]]/Tabelle3[[#This Row],[BE 06/24]]</f>
        <v>3.5808155096332374E-2</v>
      </c>
      <c r="C101" s="39">
        <f t="shared" si="2"/>
        <v>3</v>
      </c>
      <c r="D101" s="8" t="s">
        <v>117</v>
      </c>
      <c r="E101" s="17">
        <v>1287</v>
      </c>
      <c r="F101" s="12">
        <v>461.1765000844253</v>
      </c>
      <c r="G101" s="12">
        <v>36.353185819995318</v>
      </c>
      <c r="H101" s="18">
        <v>39980</v>
      </c>
      <c r="I101" s="17">
        <v>198</v>
      </c>
      <c r="J101" s="12">
        <v>91.086461760446994</v>
      </c>
      <c r="K101" s="12">
        <v>4.4138775363232092</v>
      </c>
      <c r="L101" s="18">
        <v>1491</v>
      </c>
      <c r="M101" s="17">
        <f>Tabelle3[[#This Row],[BEV BE 23]]+Tabelle3[[#This Row],[BEV NZL]]</f>
        <v>1485</v>
      </c>
      <c r="N101" s="12">
        <f>Tabelle3[[#This Row],[Benzin-PHEV (HR)]]+Tabelle3[[#This Row],[Benzin-PHEV]]</f>
        <v>552.26296184487228</v>
      </c>
      <c r="O101" s="12">
        <f>Tabelle3[[#This Row],[Diesel-PHEV (HR)]]+Tabelle3[[#This Row],[Diesel-PHEV]]</f>
        <v>40.767063356318531</v>
      </c>
      <c r="P101" s="18">
        <f>Tabelle3[[#This Row],[BE 23 GES]]+Tabelle3[[#This Row],[NZL GESAMT]]</f>
        <v>41471</v>
      </c>
    </row>
    <row r="102" spans="1:16" x14ac:dyDescent="0.3">
      <c r="A102" s="13" t="s">
        <v>91</v>
      </c>
      <c r="B102" s="38">
        <f>Tabelle3[[#This Row],[BEV BE 06/24]]/Tabelle3[[#This Row],[BE 06/24]]</f>
        <v>3.3915001407261468E-2</v>
      </c>
      <c r="C102" s="39">
        <f t="shared" si="2"/>
        <v>3</v>
      </c>
      <c r="D102" s="8" t="s">
        <v>117</v>
      </c>
      <c r="E102" s="17">
        <v>1308</v>
      </c>
      <c r="F102" s="12">
        <v>380.21075629736129</v>
      </c>
      <c r="G102" s="12">
        <v>18.32985254667555</v>
      </c>
      <c r="H102" s="18">
        <v>42017</v>
      </c>
      <c r="I102" s="17">
        <v>138</v>
      </c>
      <c r="J102" s="12">
        <v>50.603589866914994</v>
      </c>
      <c r="K102" s="12">
        <v>2.1456349134904489</v>
      </c>
      <c r="L102" s="18">
        <v>619</v>
      </c>
      <c r="M102" s="17">
        <f>Tabelle3[[#This Row],[BEV BE 23]]+Tabelle3[[#This Row],[BEV NZL]]</f>
        <v>1446</v>
      </c>
      <c r="N102" s="12">
        <f>Tabelle3[[#This Row],[Benzin-PHEV (HR)]]+Tabelle3[[#This Row],[Benzin-PHEV]]</f>
        <v>430.81434616427629</v>
      </c>
      <c r="O102" s="12">
        <f>Tabelle3[[#This Row],[Diesel-PHEV (HR)]]+Tabelle3[[#This Row],[Diesel-PHEV]]</f>
        <v>20.475487460166001</v>
      </c>
      <c r="P102" s="18">
        <f>Tabelle3[[#This Row],[BE 23 GES]]+Tabelle3[[#This Row],[NZL GESAMT]]</f>
        <v>42636</v>
      </c>
    </row>
    <row r="103" spans="1:16" x14ac:dyDescent="0.3">
      <c r="A103" s="87" t="s">
        <v>163</v>
      </c>
      <c r="B103" s="40">
        <f>Tabelle3[[#This Row],[BEV BE 06/24]]/Tabelle3[[#This Row],[BE 06/24]]</f>
        <v>3.1626701231367467E-2</v>
      </c>
      <c r="C103" s="41">
        <f t="shared" si="2"/>
        <v>3</v>
      </c>
      <c r="D103" s="8" t="s">
        <v>117</v>
      </c>
      <c r="E103" s="17">
        <v>630</v>
      </c>
      <c r="F103" s="12">
        <v>261.22393688056121</v>
      </c>
      <c r="G103" s="12">
        <v>20.72070287885062</v>
      </c>
      <c r="H103" s="18">
        <v>22397</v>
      </c>
      <c r="I103" s="17">
        <v>102</v>
      </c>
      <c r="J103" s="12">
        <v>54.159517803509019</v>
      </c>
      <c r="K103" s="12">
        <v>10.053832166069533</v>
      </c>
      <c r="L103" s="18">
        <v>748</v>
      </c>
      <c r="M103" s="17">
        <f>Tabelle3[[#This Row],[BEV BE 23]]+Tabelle3[[#This Row],[BEV NZL]]</f>
        <v>732</v>
      </c>
      <c r="N103" s="12">
        <f>Tabelle3[[#This Row],[Benzin-PHEV (HR)]]+Tabelle3[[#This Row],[Benzin-PHEV]]</f>
        <v>315.38345468407022</v>
      </c>
      <c r="O103" s="12">
        <f>Tabelle3[[#This Row],[Diesel-PHEV (HR)]]+Tabelle3[[#This Row],[Diesel-PHEV]]</f>
        <v>30.774535044920153</v>
      </c>
      <c r="P103" s="18">
        <f>Tabelle3[[#This Row],[BE 23 GES]]+Tabelle3[[#This Row],[NZL GESAMT]]</f>
        <v>23145</v>
      </c>
    </row>
    <row r="104" spans="1:16" x14ac:dyDescent="0.3">
      <c r="A104" s="86" t="s">
        <v>92</v>
      </c>
      <c r="B104" s="38">
        <f>Tabelle3[[#This Row],[BEV BE 06/24]]/Tabelle3[[#This Row],[BE 06/24]]</f>
        <v>2.7499714225060014E-2</v>
      </c>
      <c r="C104" s="39">
        <f t="shared" si="2"/>
        <v>2</v>
      </c>
      <c r="D104" s="8" t="s">
        <v>120</v>
      </c>
      <c r="E104" s="17">
        <v>1545</v>
      </c>
      <c r="F104" s="12">
        <v>302.25387461049229</v>
      </c>
      <c r="G104" s="12">
        <v>22.805033937669915</v>
      </c>
      <c r="H104" s="18">
        <v>60354</v>
      </c>
      <c r="I104" s="17">
        <v>139</v>
      </c>
      <c r="J104" s="12">
        <v>45.679997339323265</v>
      </c>
      <c r="K104" s="12">
        <v>1.4099886574365808</v>
      </c>
      <c r="L104" s="18">
        <v>883</v>
      </c>
      <c r="M104" s="17">
        <f>Tabelle3[[#This Row],[BEV BE 23]]+Tabelle3[[#This Row],[BEV NZL]]</f>
        <v>1684</v>
      </c>
      <c r="N104" s="12">
        <f>Tabelle3[[#This Row],[Benzin-PHEV (HR)]]+Tabelle3[[#This Row],[Benzin-PHEV]]</f>
        <v>347.93387194981557</v>
      </c>
      <c r="O104" s="12">
        <f>Tabelle3[[#This Row],[Diesel-PHEV (HR)]]+Tabelle3[[#This Row],[Diesel-PHEV]]</f>
        <v>24.215022595106497</v>
      </c>
      <c r="P104" s="18">
        <f>Tabelle3[[#This Row],[BE 23 GES]]+Tabelle3[[#This Row],[NZL GESAMT]]</f>
        <v>61237</v>
      </c>
    </row>
    <row r="105" spans="1:16" x14ac:dyDescent="0.3">
      <c r="A105" s="13" t="s">
        <v>93</v>
      </c>
      <c r="B105" s="38">
        <f>Tabelle3[[#This Row],[BEV BE 06/24]]/Tabelle3[[#This Row],[BE 06/24]]</f>
        <v>1.774133432724562E-2</v>
      </c>
      <c r="C105" s="39">
        <f t="shared" si="2"/>
        <v>1</v>
      </c>
      <c r="D105" s="8" t="s">
        <v>118</v>
      </c>
      <c r="E105" s="17">
        <v>206</v>
      </c>
      <c r="F105" s="12">
        <v>114.33675980740793</v>
      </c>
      <c r="G105" s="12">
        <v>10.850782276794556</v>
      </c>
      <c r="H105" s="18">
        <v>13110</v>
      </c>
      <c r="I105" s="17">
        <v>32</v>
      </c>
      <c r="J105" s="12">
        <v>25.98562722895635</v>
      </c>
      <c r="K105" s="12">
        <v>1.164773238751958</v>
      </c>
      <c r="L105" s="18">
        <v>305</v>
      </c>
      <c r="M105" s="17">
        <f>Tabelle3[[#This Row],[BEV BE 23]]+Tabelle3[[#This Row],[BEV NZL]]</f>
        <v>238</v>
      </c>
      <c r="N105" s="12">
        <f>Tabelle3[[#This Row],[Benzin-PHEV (HR)]]+Tabelle3[[#This Row],[Benzin-PHEV]]</f>
        <v>140.32238703636429</v>
      </c>
      <c r="O105" s="12">
        <f>Tabelle3[[#This Row],[Diesel-PHEV (HR)]]+Tabelle3[[#This Row],[Diesel-PHEV]]</f>
        <v>12.015555515546513</v>
      </c>
      <c r="P105" s="18">
        <f>Tabelle3[[#This Row],[BE 23 GES]]+Tabelle3[[#This Row],[NZL GESAMT]]</f>
        <v>13415</v>
      </c>
    </row>
    <row r="106" spans="1:16" x14ac:dyDescent="0.3">
      <c r="A106" s="13" t="s">
        <v>94</v>
      </c>
      <c r="B106" s="38">
        <f>Tabelle3[[#This Row],[BEV BE 06/24]]/Tabelle3[[#This Row],[BE 06/24]]</f>
        <v>3.0744223196894748E-2</v>
      </c>
      <c r="C106" s="39">
        <f t="shared" si="2"/>
        <v>3</v>
      </c>
      <c r="D106" s="8" t="s">
        <v>115</v>
      </c>
      <c r="E106" s="17">
        <f>1454+482</f>
        <v>1936</v>
      </c>
      <c r="F106" s="12">
        <v>784.76594231448178</v>
      </c>
      <c r="G106" s="12">
        <v>35.556235709270297</v>
      </c>
      <c r="H106" s="18">
        <f>54352+15368</f>
        <v>69720</v>
      </c>
      <c r="I106" s="17">
        <v>258</v>
      </c>
      <c r="J106" s="12">
        <v>106.95137101602035</v>
      </c>
      <c r="K106" s="12">
        <v>3.3104081522424069</v>
      </c>
      <c r="L106" s="18">
        <v>1643</v>
      </c>
      <c r="M106" s="17">
        <f>Tabelle3[[#This Row],[BEV BE 23]]+Tabelle3[[#This Row],[BEV NZL]]</f>
        <v>2194</v>
      </c>
      <c r="N106" s="12">
        <f>Tabelle3[[#This Row],[Benzin-PHEV (HR)]]+Tabelle3[[#This Row],[Benzin-PHEV]]</f>
        <v>891.71731333050207</v>
      </c>
      <c r="O106" s="12">
        <f>Tabelle3[[#This Row],[Diesel-PHEV (HR)]]+Tabelle3[[#This Row],[Diesel-PHEV]]</f>
        <v>38.866643861512706</v>
      </c>
      <c r="P106" s="18">
        <f>Tabelle3[[#This Row],[BE 23 GES]]+Tabelle3[[#This Row],[NZL GESAMT]]</f>
        <v>71363</v>
      </c>
    </row>
    <row r="107" spans="1:16" x14ac:dyDescent="0.3">
      <c r="A107" s="13" t="s">
        <v>95</v>
      </c>
      <c r="B107" s="38">
        <f>Tabelle3[[#This Row],[BEV BE 06/24]]/Tabelle3[[#This Row],[BE 06/24]]</f>
        <v>3.3240051873592247E-2</v>
      </c>
      <c r="C107" s="39">
        <f t="shared" si="2"/>
        <v>3</v>
      </c>
      <c r="D107" s="8" t="s">
        <v>117</v>
      </c>
      <c r="E107" s="17">
        <v>1795</v>
      </c>
      <c r="F107" s="12">
        <v>523.81553835212003</v>
      </c>
      <c r="G107" s="12">
        <v>26.238049799254632</v>
      </c>
      <c r="H107" s="18">
        <v>57712</v>
      </c>
      <c r="I107" s="17">
        <v>153</v>
      </c>
      <c r="J107" s="12">
        <v>73.853887913875937</v>
      </c>
      <c r="K107" s="12">
        <v>1.4712925121077365</v>
      </c>
      <c r="L107" s="18">
        <v>892</v>
      </c>
      <c r="M107" s="17">
        <f>Tabelle3[[#This Row],[BEV BE 23]]+Tabelle3[[#This Row],[BEV NZL]]</f>
        <v>1948</v>
      </c>
      <c r="N107" s="12">
        <f>Tabelle3[[#This Row],[Benzin-PHEV (HR)]]+Tabelle3[[#This Row],[Benzin-PHEV]]</f>
        <v>597.66942626599598</v>
      </c>
      <c r="O107" s="12">
        <f>Tabelle3[[#This Row],[Diesel-PHEV (HR)]]+Tabelle3[[#This Row],[Diesel-PHEV]]</f>
        <v>27.70934231136237</v>
      </c>
      <c r="P107" s="18">
        <f>Tabelle3[[#This Row],[BE 23 GES]]+Tabelle3[[#This Row],[NZL GESAMT]]</f>
        <v>58604</v>
      </c>
    </row>
    <row r="108" spans="1:16" x14ac:dyDescent="0.3">
      <c r="A108" s="13" t="s">
        <v>96</v>
      </c>
      <c r="B108" s="38">
        <f>Tabelle3[[#This Row],[BEV BE 06/24]]/Tabelle3[[#This Row],[BE 06/24]]</f>
        <v>2.4115197779319916E-2</v>
      </c>
      <c r="C108" s="39">
        <f t="shared" si="2"/>
        <v>2</v>
      </c>
      <c r="D108" s="8" t="s">
        <v>114</v>
      </c>
      <c r="E108" s="17">
        <v>838</v>
      </c>
      <c r="F108" s="12">
        <v>373.64596626057232</v>
      </c>
      <c r="G108" s="12">
        <v>26.054138235241165</v>
      </c>
      <c r="H108" s="18">
        <v>39222</v>
      </c>
      <c r="I108" s="17">
        <v>135</v>
      </c>
      <c r="J108" s="12">
        <v>66.194966204288804</v>
      </c>
      <c r="K108" s="12">
        <v>3.4330158615847184</v>
      </c>
      <c r="L108" s="18">
        <v>1126</v>
      </c>
      <c r="M108" s="17">
        <f>Tabelle3[[#This Row],[BEV BE 23]]+Tabelle3[[#This Row],[BEV NZL]]</f>
        <v>973</v>
      </c>
      <c r="N108" s="12">
        <f>Tabelle3[[#This Row],[Benzin-PHEV (HR)]]+Tabelle3[[#This Row],[Benzin-PHEV]]</f>
        <v>439.84093246486111</v>
      </c>
      <c r="O108" s="12">
        <f>Tabelle3[[#This Row],[Diesel-PHEV (HR)]]+Tabelle3[[#This Row],[Diesel-PHEV]]</f>
        <v>29.487154096825883</v>
      </c>
      <c r="P108" s="18">
        <f>Tabelle3[[#This Row],[BE 23 GES]]+Tabelle3[[#This Row],[NZL GESAMT]]</f>
        <v>40348</v>
      </c>
    </row>
    <row r="109" spans="1:16" x14ac:dyDescent="0.3">
      <c r="A109" s="13" t="s">
        <v>97</v>
      </c>
      <c r="B109" s="38">
        <f>Tabelle3[[#This Row],[BEV BE 06/24]]/Tabelle3[[#This Row],[BE 06/24]]</f>
        <v>1.897691630751179E-2</v>
      </c>
      <c r="C109" s="39">
        <f t="shared" si="2"/>
        <v>1</v>
      </c>
      <c r="D109" s="8" t="s">
        <v>114</v>
      </c>
      <c r="E109" s="17">
        <v>760</v>
      </c>
      <c r="F109" s="12">
        <v>304.71567087428815</v>
      </c>
      <c r="G109" s="12">
        <v>20.475487460165997</v>
      </c>
      <c r="H109" s="18">
        <v>43842</v>
      </c>
      <c r="I109" s="17">
        <v>81</v>
      </c>
      <c r="J109" s="12">
        <v>22.15616637416278</v>
      </c>
      <c r="K109" s="12">
        <v>1.1034693840808023</v>
      </c>
      <c r="L109" s="18">
        <v>475</v>
      </c>
      <c r="M109" s="17">
        <f>Tabelle3[[#This Row],[BEV BE 23]]+Tabelle3[[#This Row],[BEV NZL]]</f>
        <v>841</v>
      </c>
      <c r="N109" s="12">
        <f>Tabelle3[[#This Row],[Benzin-PHEV (HR)]]+Tabelle3[[#This Row],[Benzin-PHEV]]</f>
        <v>326.8718372484509</v>
      </c>
      <c r="O109" s="12">
        <f>Tabelle3[[#This Row],[Diesel-PHEV (HR)]]+Tabelle3[[#This Row],[Diesel-PHEV]]</f>
        <v>21.5789568442468</v>
      </c>
      <c r="P109" s="18">
        <f>Tabelle3[[#This Row],[BE 23 GES]]+Tabelle3[[#This Row],[NZL GESAMT]]</f>
        <v>44317</v>
      </c>
    </row>
    <row r="110" spans="1:16" x14ac:dyDescent="0.3">
      <c r="A110" s="13" t="s">
        <v>98</v>
      </c>
      <c r="B110" s="38">
        <f>Tabelle3[[#This Row],[BEV BE 06/24]]/Tabelle3[[#This Row],[BE 06/24]]</f>
        <v>3.1828600734747706E-2</v>
      </c>
      <c r="C110" s="39">
        <f t="shared" si="2"/>
        <v>3</v>
      </c>
      <c r="D110" s="8" t="s">
        <v>117</v>
      </c>
      <c r="E110" s="17">
        <v>2720</v>
      </c>
      <c r="F110" s="12">
        <v>645.26415403271608</v>
      </c>
      <c r="G110" s="12">
        <v>53.089138145220822</v>
      </c>
      <c r="H110" s="18">
        <v>93896</v>
      </c>
      <c r="I110" s="17">
        <v>321</v>
      </c>
      <c r="J110" s="12">
        <v>96.010054288038717</v>
      </c>
      <c r="K110" s="12">
        <v>5.7625623390886345</v>
      </c>
      <c r="L110" s="18">
        <v>1647</v>
      </c>
      <c r="M110" s="17">
        <f>Tabelle3[[#This Row],[BEV BE 23]]+Tabelle3[[#This Row],[BEV NZL]]</f>
        <v>3041</v>
      </c>
      <c r="N110" s="12">
        <f>Tabelle3[[#This Row],[Benzin-PHEV (HR)]]+Tabelle3[[#This Row],[Benzin-PHEV]]</f>
        <v>741.27420832075484</v>
      </c>
      <c r="O110" s="12">
        <f>Tabelle3[[#This Row],[Diesel-PHEV (HR)]]+Tabelle3[[#This Row],[Diesel-PHEV]]</f>
        <v>58.851700484309454</v>
      </c>
      <c r="P110" s="18">
        <f>Tabelle3[[#This Row],[BE 23 GES]]+Tabelle3[[#This Row],[NZL GESAMT]]</f>
        <v>95543</v>
      </c>
    </row>
    <row r="111" spans="1:16" x14ac:dyDescent="0.3">
      <c r="A111" s="13" t="s">
        <v>99</v>
      </c>
      <c r="B111" s="38">
        <f>Tabelle3[[#This Row],[BEV BE 06/24]]/Tabelle3[[#This Row],[BE 06/24]]</f>
        <v>1.8221574344023325E-2</v>
      </c>
      <c r="C111" s="39">
        <f t="shared" si="2"/>
        <v>1</v>
      </c>
      <c r="D111" s="8" t="s">
        <v>120</v>
      </c>
      <c r="E111" s="17">
        <v>590</v>
      </c>
      <c r="F111" s="12">
        <v>304.44213795608857</v>
      </c>
      <c r="G111" s="12">
        <v>16.919863889238968</v>
      </c>
      <c r="H111" s="18">
        <v>35042</v>
      </c>
      <c r="I111" s="17">
        <v>60</v>
      </c>
      <c r="J111" s="12">
        <v>47.04766193032097</v>
      </c>
      <c r="K111" s="12">
        <v>0.91955782006733522</v>
      </c>
      <c r="L111" s="18">
        <v>630</v>
      </c>
      <c r="M111" s="17">
        <f>Tabelle3[[#This Row],[BEV BE 23]]+Tabelle3[[#This Row],[BEV NZL]]</f>
        <v>650</v>
      </c>
      <c r="N111" s="12">
        <f>Tabelle3[[#This Row],[Benzin-PHEV (HR)]]+Tabelle3[[#This Row],[Benzin-PHEV]]</f>
        <v>351.48979988640951</v>
      </c>
      <c r="O111" s="12">
        <f>Tabelle3[[#This Row],[Diesel-PHEV (HR)]]+Tabelle3[[#This Row],[Diesel-PHEV]]</f>
        <v>17.839421709306304</v>
      </c>
      <c r="P111" s="18">
        <f>Tabelle3[[#This Row],[BE 23 GES]]+Tabelle3[[#This Row],[NZL GESAMT]]</f>
        <v>35672</v>
      </c>
    </row>
    <row r="112" spans="1:16" x14ac:dyDescent="0.3">
      <c r="A112" s="13" t="s">
        <v>100</v>
      </c>
      <c r="B112" s="38">
        <f>Tabelle3[[#This Row],[BEV BE 06/24]]/Tabelle3[[#This Row],[BE 06/24]]</f>
        <v>2.1754292736391113E-2</v>
      </c>
      <c r="C112" s="39">
        <f t="shared" si="2"/>
        <v>2</v>
      </c>
      <c r="D112" s="8" t="s">
        <v>114</v>
      </c>
      <c r="E112" s="17">
        <v>606</v>
      </c>
      <c r="F112" s="12">
        <v>178.61699558429996</v>
      </c>
      <c r="G112" s="12">
        <v>10.544263003438777</v>
      </c>
      <c r="H112" s="18">
        <v>29695</v>
      </c>
      <c r="I112" s="17">
        <v>49</v>
      </c>
      <c r="J112" s="12">
        <v>22.976765128761404</v>
      </c>
      <c r="K112" s="12">
        <v>0.79695011072502386</v>
      </c>
      <c r="L112" s="18">
        <v>414</v>
      </c>
      <c r="M112" s="17">
        <f>Tabelle3[[#This Row],[BEV BE 23]]+Tabelle3[[#This Row],[BEV NZL]]</f>
        <v>655</v>
      </c>
      <c r="N112" s="12">
        <f>Tabelle3[[#This Row],[Benzin-PHEV (HR)]]+Tabelle3[[#This Row],[Benzin-PHEV]]</f>
        <v>201.59376071306136</v>
      </c>
      <c r="O112" s="12">
        <f>Tabelle3[[#This Row],[Diesel-PHEV (HR)]]+Tabelle3[[#This Row],[Diesel-PHEV]]</f>
        <v>11.341213114163802</v>
      </c>
      <c r="P112" s="18">
        <f>Tabelle3[[#This Row],[BE 23 GES]]+Tabelle3[[#This Row],[NZL GESAMT]]</f>
        <v>30109</v>
      </c>
    </row>
    <row r="113" spans="1:16" x14ac:dyDescent="0.3">
      <c r="A113" s="13" t="s">
        <v>102</v>
      </c>
      <c r="B113" s="38">
        <f>Tabelle3[[#This Row],[BEV BE 06/24]]/Tabelle3[[#This Row],[BE 06/24]]</f>
        <v>3.0915397375961395E-2</v>
      </c>
      <c r="C113" s="39">
        <f t="shared" si="2"/>
        <v>3</v>
      </c>
      <c r="D113" s="8" t="s">
        <v>115</v>
      </c>
      <c r="E113" s="17">
        <v>564</v>
      </c>
      <c r="F113" s="12">
        <v>115.97795731660517</v>
      </c>
      <c r="G113" s="12">
        <v>7.7855895432367719</v>
      </c>
      <c r="H113" s="18">
        <v>19541</v>
      </c>
      <c r="I113" s="17">
        <v>51</v>
      </c>
      <c r="J113" s="12">
        <v>19.420837192167376</v>
      </c>
      <c r="K113" s="12">
        <v>0.61303854671155689</v>
      </c>
      <c r="L113" s="18">
        <v>352</v>
      </c>
      <c r="M113" s="17">
        <f>Tabelle3[[#This Row],[BEV BE 23]]+Tabelle3[[#This Row],[BEV NZL]]</f>
        <v>615</v>
      </c>
      <c r="N113" s="12">
        <f>Tabelle3[[#This Row],[Benzin-PHEV (HR)]]+Tabelle3[[#This Row],[Benzin-PHEV]]</f>
        <v>135.39879450877254</v>
      </c>
      <c r="O113" s="12">
        <f>Tabelle3[[#This Row],[Diesel-PHEV (HR)]]+Tabelle3[[#This Row],[Diesel-PHEV]]</f>
        <v>8.3986280899483283</v>
      </c>
      <c r="P113" s="18">
        <f>Tabelle3[[#This Row],[BE 23 GES]]+Tabelle3[[#This Row],[NZL GESAMT]]</f>
        <v>19893</v>
      </c>
    </row>
    <row r="114" spans="1:16" x14ac:dyDescent="0.3">
      <c r="A114" s="13" t="s">
        <v>171</v>
      </c>
      <c r="B114" s="38">
        <f>Tabelle3[[#This Row],[BEV BE 06/24]]/Tabelle3[[#This Row],[BE 06/24]]</f>
        <v>2.892788593364409E-2</v>
      </c>
      <c r="C114" s="39">
        <f t="shared" si="2"/>
        <v>2</v>
      </c>
      <c r="D114" s="8" t="s">
        <v>115</v>
      </c>
      <c r="E114" s="17">
        <v>192</v>
      </c>
      <c r="F114" s="12">
        <v>71.665624568279611</v>
      </c>
      <c r="G114" s="12">
        <v>3.6782312802693409</v>
      </c>
      <c r="H114" s="18">
        <v>7021</v>
      </c>
      <c r="I114" s="17">
        <v>19</v>
      </c>
      <c r="J114" s="12">
        <v>21.06203470136462</v>
      </c>
      <c r="K114" s="12">
        <v>0.55173469204040115</v>
      </c>
      <c r="L114" s="18">
        <v>273</v>
      </c>
      <c r="M114" s="17">
        <f>Tabelle3[[#This Row],[BEV BE 23]]+Tabelle3[[#This Row],[BEV NZL]]</f>
        <v>211</v>
      </c>
      <c r="N114" s="12">
        <f>Tabelle3[[#This Row],[Benzin-PHEV (HR)]]+Tabelle3[[#This Row],[Benzin-PHEV]]</f>
        <v>92.727659269644235</v>
      </c>
      <c r="O114" s="12">
        <f>Tabelle3[[#This Row],[Diesel-PHEV (HR)]]+Tabelle3[[#This Row],[Diesel-PHEV]]</f>
        <v>4.229965972309742</v>
      </c>
      <c r="P114" s="18">
        <f>Tabelle3[[#This Row],[BE 23 GES]]+Tabelle3[[#This Row],[NZL GESAMT]]</f>
        <v>7294</v>
      </c>
    </row>
    <row r="115" spans="1:16" x14ac:dyDescent="0.3">
      <c r="A115" s="13" t="s">
        <v>103</v>
      </c>
      <c r="B115" s="38">
        <f>Tabelle3[[#This Row],[BEV BE 06/24]]/Tabelle3[[#This Row],[BE 06/24]]</f>
        <v>3.113364137992912E-2</v>
      </c>
      <c r="C115" s="39">
        <f t="shared" si="2"/>
        <v>3</v>
      </c>
      <c r="D115" s="8" t="s">
        <v>120</v>
      </c>
      <c r="E115" s="17">
        <v>1844</v>
      </c>
      <c r="F115" s="12">
        <v>420.14656235449422</v>
      </c>
      <c r="G115" s="12">
        <v>29.609761806168194</v>
      </c>
      <c r="H115" s="18">
        <v>64992</v>
      </c>
      <c r="I115" s="17">
        <v>238</v>
      </c>
      <c r="J115" s="12">
        <v>93.27472510604332</v>
      </c>
      <c r="K115" s="12">
        <v>2.8812811695443172</v>
      </c>
      <c r="L115" s="18">
        <v>1881</v>
      </c>
      <c r="M115" s="17">
        <f>Tabelle3[[#This Row],[BEV BE 23]]+Tabelle3[[#This Row],[BEV NZL]]</f>
        <v>2082</v>
      </c>
      <c r="N115" s="12">
        <f>Tabelle3[[#This Row],[Benzin-PHEV (HR)]]+Tabelle3[[#This Row],[Benzin-PHEV]]</f>
        <v>513.42128746053754</v>
      </c>
      <c r="O115" s="12">
        <f>Tabelle3[[#This Row],[Diesel-PHEV (HR)]]+Tabelle3[[#This Row],[Diesel-PHEV]]</f>
        <v>32.49104297571251</v>
      </c>
      <c r="P115" s="18">
        <f>Tabelle3[[#This Row],[BE 23 GES]]+Tabelle3[[#This Row],[NZL GESAMT]]</f>
        <v>66873</v>
      </c>
    </row>
    <row r="116" spans="1:16" x14ac:dyDescent="0.3">
      <c r="A116" s="13" t="s">
        <v>104</v>
      </c>
      <c r="B116" s="38">
        <f>Tabelle3[[#This Row],[BEV BE 06/24]]/Tabelle3[[#This Row],[BE 06/24]]</f>
        <v>3.9238220325069774E-2</v>
      </c>
      <c r="C116" s="39">
        <f t="shared" si="2"/>
        <v>3</v>
      </c>
      <c r="D116" s="8" t="s">
        <v>117</v>
      </c>
      <c r="E116" s="17">
        <v>1907</v>
      </c>
      <c r="F116" s="12">
        <v>462.27063175722344</v>
      </c>
      <c r="G116" s="12">
        <v>53.273049709234293</v>
      </c>
      <c r="H116" s="18">
        <v>53295</v>
      </c>
      <c r="I116" s="17">
        <v>244</v>
      </c>
      <c r="J116" s="12">
        <v>99.018916388233663</v>
      </c>
      <c r="K116" s="12">
        <v>6.6821201591559696</v>
      </c>
      <c r="L116" s="18">
        <v>1524</v>
      </c>
      <c r="M116" s="17">
        <f>Tabelle3[[#This Row],[BEV BE 23]]+Tabelle3[[#This Row],[BEV NZL]]</f>
        <v>2151</v>
      </c>
      <c r="N116" s="12">
        <f>Tabelle3[[#This Row],[Benzin-PHEV (HR)]]+Tabelle3[[#This Row],[Benzin-PHEV]]</f>
        <v>561.28954814545705</v>
      </c>
      <c r="O116" s="12">
        <f>Tabelle3[[#This Row],[Diesel-PHEV (HR)]]+Tabelle3[[#This Row],[Diesel-PHEV]]</f>
        <v>59.955169868390264</v>
      </c>
      <c r="P116" s="18">
        <f>Tabelle3[[#This Row],[BE 23 GES]]+Tabelle3[[#This Row],[NZL GESAMT]]</f>
        <v>54819</v>
      </c>
    </row>
    <row r="117" spans="1:16" x14ac:dyDescent="0.3">
      <c r="A117" s="13" t="s">
        <v>109</v>
      </c>
      <c r="B117" s="38">
        <f>Tabelle3[[#This Row],[BEV BE 06/24]]/Tabelle3[[#This Row],[BE 06/24]]</f>
        <v>4.3418700813658798E-2</v>
      </c>
      <c r="C117" s="39">
        <f t="shared" si="2"/>
        <v>4</v>
      </c>
      <c r="D117" s="8" t="s">
        <v>109</v>
      </c>
      <c r="E117" s="19">
        <v>27282</v>
      </c>
      <c r="F117" s="12">
        <v>11010.794089204304</v>
      </c>
      <c r="G117" s="12">
        <v>712.65731055218487</v>
      </c>
      <c r="H117" s="18">
        <v>721792</v>
      </c>
      <c r="I117" s="17">
        <v>5269</v>
      </c>
      <c r="J117" s="12">
        <v>2094.7150875720813</v>
      </c>
      <c r="K117" s="12">
        <v>118.86817420737087</v>
      </c>
      <c r="L117" s="18">
        <v>27908</v>
      </c>
      <c r="M117" s="17">
        <f>Tabelle3[[#This Row],[BEV BE 23]]+Tabelle3[[#This Row],[BEV NZL]]</f>
        <v>32551</v>
      </c>
      <c r="N117" s="12">
        <f>Tabelle3[[#This Row],[Benzin-PHEV (HR)]]+Tabelle3[[#This Row],[Benzin-PHEV]]</f>
        <v>13105.509176776386</v>
      </c>
      <c r="O117" s="12">
        <f>Tabelle3[[#This Row],[Diesel-PHEV (HR)]]+Tabelle3[[#This Row],[Diesel-PHEV]]</f>
        <v>831.52548475955575</v>
      </c>
      <c r="P117" s="18">
        <f>Tabelle3[[#This Row],[BE 23 GES]]+Tabelle3[[#This Row],[NZL GESAMT]]</f>
        <v>749700</v>
      </c>
    </row>
    <row r="118" spans="1:16" x14ac:dyDescent="0.3">
      <c r="A118" s="87" t="s">
        <v>164</v>
      </c>
      <c r="B118" s="40">
        <f>Tabelle3[[#This Row],[BEV BE 06/24]]/Tabelle3[[#This Row],[BE 06/24]]</f>
        <v>2.9870313939479837E-2</v>
      </c>
      <c r="C118" s="41">
        <f t="shared" si="2"/>
        <v>2</v>
      </c>
      <c r="D118" s="8" t="s">
        <v>115</v>
      </c>
      <c r="E118" s="17">
        <v>690</v>
      </c>
      <c r="F118" s="12">
        <v>261.22393688056121</v>
      </c>
      <c r="G118" s="12">
        <v>12.996417190285005</v>
      </c>
      <c r="H118" s="18">
        <v>27129</v>
      </c>
      <c r="I118" s="17">
        <v>153</v>
      </c>
      <c r="J118" s="12">
        <v>54.159517803509019</v>
      </c>
      <c r="K118" s="12">
        <v>1.5325963667788922</v>
      </c>
      <c r="L118" s="18">
        <v>1093</v>
      </c>
      <c r="M118" s="17">
        <f>Tabelle3[[#This Row],[BEV BE 23]]+Tabelle3[[#This Row],[BEV NZL]]</f>
        <v>843</v>
      </c>
      <c r="N118" s="12">
        <f>Tabelle3[[#This Row],[Benzin-PHEV (HR)]]+Tabelle3[[#This Row],[Benzin-PHEV]]</f>
        <v>315.38345468407022</v>
      </c>
      <c r="O118" s="12">
        <f>Tabelle3[[#This Row],[Diesel-PHEV (HR)]]+Tabelle3[[#This Row],[Diesel-PHEV]]</f>
        <v>14.529013557063896</v>
      </c>
      <c r="P118" s="18">
        <f>Tabelle3[[#This Row],[BE 23 GES]]+Tabelle3[[#This Row],[NZL GESAMT]]</f>
        <v>28222</v>
      </c>
    </row>
    <row r="119" spans="1:16" x14ac:dyDescent="0.3">
      <c r="A119" s="86" t="s">
        <v>106</v>
      </c>
      <c r="B119" s="38">
        <f>Tabelle3[[#This Row],[BEV BE 06/24]]/Tabelle3[[#This Row],[BE 06/24]]</f>
        <v>1.963209982788296E-2</v>
      </c>
      <c r="C119" s="39">
        <f t="shared" si="2"/>
        <v>1</v>
      </c>
      <c r="D119" s="8" t="s">
        <v>114</v>
      </c>
      <c r="E119" s="17">
        <v>658</v>
      </c>
      <c r="F119" s="12">
        <v>273.259385281341</v>
      </c>
      <c r="G119" s="12">
        <v>19.249410366742886</v>
      </c>
      <c r="H119" s="18">
        <v>36516</v>
      </c>
      <c r="I119" s="17">
        <v>72</v>
      </c>
      <c r="J119" s="12">
        <v>37.747542711536589</v>
      </c>
      <c r="K119" s="12">
        <v>2.3295464775039161</v>
      </c>
      <c r="L119" s="18">
        <v>668</v>
      </c>
      <c r="M119" s="17">
        <f>Tabelle3[[#This Row],[BEV BE 23]]+Tabelle3[[#This Row],[BEV NZL]]</f>
        <v>730</v>
      </c>
      <c r="N119" s="12">
        <f>Tabelle3[[#This Row],[Benzin-PHEV (HR)]]+Tabelle3[[#This Row],[Benzin-PHEV]]</f>
        <v>311.00692799287759</v>
      </c>
      <c r="O119" s="12">
        <f>Tabelle3[[#This Row],[Diesel-PHEV (HR)]]+Tabelle3[[#This Row],[Diesel-PHEV]]</f>
        <v>21.578956844246804</v>
      </c>
      <c r="P119" s="18">
        <f>Tabelle3[[#This Row],[BE 23 GES]]+Tabelle3[[#This Row],[NZL GESAMT]]</f>
        <v>37184</v>
      </c>
    </row>
    <row r="120" spans="1:16" x14ac:dyDescent="0.3">
      <c r="A120" s="13" t="s">
        <v>107</v>
      </c>
      <c r="B120" s="38">
        <f>Tabelle3[[#This Row],[BEV BE 06/24]]/Tabelle3[[#This Row],[BE 06/24]]</f>
        <v>3.5285459756758848E-2</v>
      </c>
      <c r="C120" s="39">
        <f t="shared" si="2"/>
        <v>3</v>
      </c>
      <c r="D120" s="8" t="s">
        <v>118</v>
      </c>
      <c r="E120" s="17">
        <v>1654</v>
      </c>
      <c r="F120" s="12">
        <v>570.86320028244108</v>
      </c>
      <c r="G120" s="12">
        <v>30.651927335577842</v>
      </c>
      <c r="H120" s="18">
        <v>50507</v>
      </c>
      <c r="I120" s="17">
        <v>168</v>
      </c>
      <c r="J120" s="12">
        <v>79.051013359667209</v>
      </c>
      <c r="K120" s="12">
        <v>2.8812811695443172</v>
      </c>
      <c r="L120" s="18">
        <v>1129</v>
      </c>
      <c r="M120" s="17">
        <f>Tabelle3[[#This Row],[BEV BE 23]]+Tabelle3[[#This Row],[BEV NZL]]</f>
        <v>1822</v>
      </c>
      <c r="N120" s="12">
        <f>Tabelle3[[#This Row],[Benzin-PHEV (HR)]]+Tabelle3[[#This Row],[Benzin-PHEV]]</f>
        <v>649.91421364210828</v>
      </c>
      <c r="O120" s="12">
        <f>Tabelle3[[#This Row],[Diesel-PHEV (HR)]]+Tabelle3[[#This Row],[Diesel-PHEV]]</f>
        <v>33.533208505122161</v>
      </c>
      <c r="P120" s="18">
        <f>Tabelle3[[#This Row],[BE 23 GES]]+Tabelle3[[#This Row],[NZL GESAMT]]</f>
        <v>51636</v>
      </c>
    </row>
    <row r="121" spans="1:16" ht="15" thickBot="1" x14ac:dyDescent="0.35">
      <c r="A121" s="29" t="s">
        <v>108</v>
      </c>
      <c r="B121" s="42">
        <f>Tabelle3[[#This Row],[BEV BE 06/24]]/Tabelle3[[#This Row],[BE 06/24]]</f>
        <v>2.4876096073198628E-2</v>
      </c>
      <c r="C121" s="43">
        <f t="shared" si="2"/>
        <v>2</v>
      </c>
      <c r="D121" s="8" t="s">
        <v>115</v>
      </c>
      <c r="E121" s="17">
        <v>709</v>
      </c>
      <c r="F121" s="12">
        <v>216.91160413223562</v>
      </c>
      <c r="G121" s="12">
        <v>11.095997695479179</v>
      </c>
      <c r="H121" s="18">
        <v>30885</v>
      </c>
      <c r="I121" s="17">
        <v>74</v>
      </c>
      <c r="J121" s="12">
        <v>37.474009793337046</v>
      </c>
      <c r="K121" s="12">
        <v>1.2873809480942693</v>
      </c>
      <c r="L121" s="18">
        <v>591</v>
      </c>
      <c r="M121" s="17">
        <f>Tabelle3[[#This Row],[BEV BE 23]]+Tabelle3[[#This Row],[BEV NZL]]</f>
        <v>783</v>
      </c>
      <c r="N121" s="12">
        <f>Tabelle3[[#This Row],[Benzin-PHEV (HR)]]+Tabelle3[[#This Row],[Benzin-PHEV]]</f>
        <v>254.38561392557267</v>
      </c>
      <c r="O121" s="12">
        <f>Tabelle3[[#This Row],[Diesel-PHEV (HR)]]+Tabelle3[[#This Row],[Diesel-PHEV]]</f>
        <v>12.383378643573447</v>
      </c>
      <c r="P121" s="18">
        <f>Tabelle3[[#This Row],[BE 23 GES]]+Tabelle3[[#This Row],[NZL GESAMT]]</f>
        <v>31476</v>
      </c>
    </row>
    <row r="122" spans="1:16" ht="15" thickBot="1" x14ac:dyDescent="0.35">
      <c r="A122" s="24" t="s">
        <v>175</v>
      </c>
      <c r="B122" s="30"/>
      <c r="C122" s="25"/>
      <c r="D122" s="31"/>
      <c r="E122" s="21">
        <f>SUM(E28:E121)</f>
        <v>155686</v>
      </c>
      <c r="F122" s="15">
        <f>SUM(Tabelle3[Benzin-PHEV (HR)])</f>
        <v>53581.542747353407</v>
      </c>
      <c r="G122" s="15">
        <f t="shared" ref="G122:P122" si="3">SUM(G28:G121)</f>
        <v>3394.9461678339303</v>
      </c>
      <c r="H122" s="16">
        <f t="shared" si="3"/>
        <v>5188122</v>
      </c>
      <c r="I122" s="20">
        <f t="shared" si="3"/>
        <v>22275</v>
      </c>
      <c r="J122" s="10">
        <f t="shared" si="3"/>
        <v>8892.0081048306638</v>
      </c>
      <c r="K122" s="10">
        <f t="shared" si="3"/>
        <v>456.77502115478092</v>
      </c>
      <c r="L122" s="11">
        <f t="shared" si="3"/>
        <v>134302</v>
      </c>
      <c r="M122" s="20">
        <f t="shared" si="3"/>
        <v>177961</v>
      </c>
      <c r="N122" s="10">
        <f t="shared" si="3"/>
        <v>62473.550852184067</v>
      </c>
      <c r="O122" s="10">
        <f t="shared" si="3"/>
        <v>3851.7211889887126</v>
      </c>
      <c r="P122" s="11">
        <f t="shared" si="3"/>
        <v>5322424</v>
      </c>
    </row>
    <row r="123" spans="1:16" x14ac:dyDescent="0.3">
      <c r="B123" s="8"/>
      <c r="C123" s="8"/>
      <c r="D123" s="8"/>
      <c r="E123" s="14"/>
      <c r="F123" s="14"/>
      <c r="G123" s="14"/>
      <c r="H123" s="14"/>
      <c r="I123" s="14"/>
      <c r="J123" s="14"/>
      <c r="K123" s="8"/>
      <c r="L123" s="9"/>
      <c r="M123" s="9"/>
      <c r="N123" s="9"/>
      <c r="O123" s="9"/>
      <c r="P123" s="9"/>
    </row>
    <row r="124" spans="1:16" ht="16.2" thickBot="1" x14ac:dyDescent="0.35">
      <c r="A124" s="186" t="s">
        <v>173</v>
      </c>
      <c r="B124" s="8"/>
      <c r="C124" s="8"/>
      <c r="D124" s="8"/>
      <c r="E124" s="14"/>
      <c r="F124" s="14"/>
      <c r="G124" s="14"/>
      <c r="H124" s="14"/>
      <c r="I124" s="14"/>
      <c r="J124" s="14"/>
      <c r="K124" s="8"/>
      <c r="L124" s="9"/>
      <c r="M124" s="9"/>
      <c r="N124" s="9"/>
      <c r="O124" s="9"/>
      <c r="P124" s="9"/>
    </row>
    <row r="125" spans="1:16" x14ac:dyDescent="0.3">
      <c r="B125" s="201" t="s">
        <v>237</v>
      </c>
      <c r="C125" s="202"/>
      <c r="D125" s="8"/>
      <c r="E125" s="201" t="s">
        <v>126</v>
      </c>
      <c r="F125" s="206"/>
      <c r="G125" s="206"/>
      <c r="H125" s="206"/>
      <c r="I125" s="201" t="s">
        <v>238</v>
      </c>
      <c r="J125" s="206"/>
      <c r="K125" s="206"/>
      <c r="L125" s="202"/>
      <c r="M125" s="201" t="s">
        <v>239</v>
      </c>
      <c r="N125" s="206"/>
      <c r="O125" s="206"/>
      <c r="P125" s="202"/>
    </row>
    <row r="126" spans="1:16" ht="30.6" x14ac:dyDescent="0.3">
      <c r="A126" s="194" t="s">
        <v>186</v>
      </c>
      <c r="B126" s="192" t="s">
        <v>152</v>
      </c>
      <c r="C126" s="193" t="s">
        <v>168</v>
      </c>
      <c r="D126" s="191" t="s">
        <v>167</v>
      </c>
      <c r="E126" s="187" t="s">
        <v>181</v>
      </c>
      <c r="F126" s="188" t="s">
        <v>236</v>
      </c>
      <c r="G126" s="188" t="s">
        <v>125</v>
      </c>
      <c r="H126" s="190" t="s">
        <v>180</v>
      </c>
      <c r="I126" s="187" t="s">
        <v>178</v>
      </c>
      <c r="J126" s="188" t="s">
        <v>129</v>
      </c>
      <c r="K126" s="188" t="s">
        <v>130</v>
      </c>
      <c r="L126" s="189" t="s">
        <v>179</v>
      </c>
      <c r="M126" s="187" t="s">
        <v>182</v>
      </c>
      <c r="N126" s="188" t="s">
        <v>183</v>
      </c>
      <c r="O126" s="188" t="s">
        <v>184</v>
      </c>
      <c r="P126" s="189" t="s">
        <v>185</v>
      </c>
    </row>
    <row r="127" spans="1:16" x14ac:dyDescent="0.3">
      <c r="A127" s="13" t="s">
        <v>3</v>
      </c>
      <c r="B127" s="38">
        <f>Tabelle1[[#This Row],[BEV BE 06/24]]/Tabelle1[[#This Row],[BE 06/24]]</f>
        <v>0.15866209262435677</v>
      </c>
      <c r="C127" s="195"/>
      <c r="D127" s="8" t="s">
        <v>124</v>
      </c>
      <c r="E127" s="22">
        <v>310</v>
      </c>
      <c r="F127" s="23">
        <v>0.27353291819954051</v>
      </c>
      <c r="G127" s="23">
        <v>0</v>
      </c>
      <c r="H127" s="94">
        <v>2102</v>
      </c>
      <c r="I127" s="180">
        <v>60</v>
      </c>
      <c r="J127" s="181">
        <v>0</v>
      </c>
      <c r="K127" s="181">
        <v>0</v>
      </c>
      <c r="L127" s="182">
        <v>230</v>
      </c>
      <c r="M127" s="22">
        <f>Tabelle1[[#This Row],[BEV BE 23]]+Tabelle1[[#This Row],[BEV NZL]]</f>
        <v>370</v>
      </c>
      <c r="N127" s="23">
        <f>Tabelle1[[#This Row],[Benzin-PHEV (HR)]]+Tabelle1[[#This Row],[Benzin-PHEV]]</f>
        <v>0.27353291819954051</v>
      </c>
      <c r="O127" s="23">
        <f>Tabelle1[[#This Row],[Diesel-PHEV (HR)]]+Tabelle1[[#This Row],[Diesel-PHEV]]</f>
        <v>0</v>
      </c>
      <c r="P127" s="94">
        <f>Tabelle1[[#This Row],[BE 23 GES]]+Tabelle1[[#This Row],[NZL GESAMT]]</f>
        <v>2332</v>
      </c>
    </row>
    <row r="128" spans="1:16" x14ac:dyDescent="0.3">
      <c r="A128" s="13" t="s">
        <v>123</v>
      </c>
      <c r="B128" s="38">
        <f>Tabelle1[[#This Row],[BEV BE 06/24]]/Tabelle1[[#This Row],[BE 06/24]]</f>
        <v>7.8550614468516407E-3</v>
      </c>
      <c r="C128" s="195"/>
      <c r="D128" s="8" t="s">
        <v>124</v>
      </c>
      <c r="E128" s="22">
        <v>54</v>
      </c>
      <c r="F128" s="23">
        <v>22.703232210561861</v>
      </c>
      <c r="G128" s="23">
        <v>18.023333273319771</v>
      </c>
      <c r="H128" s="94">
        <v>6661</v>
      </c>
      <c r="I128" s="180">
        <v>8</v>
      </c>
      <c r="J128" s="181">
        <v>4.3765266911926481</v>
      </c>
      <c r="K128" s="181">
        <v>1.9004194948058262</v>
      </c>
      <c r="L128" s="182">
        <v>1232</v>
      </c>
      <c r="M128" s="22">
        <f>Tabelle1[[#This Row],[BEV BE 23]]+Tabelle1[[#This Row],[BEV NZL]]</f>
        <v>62</v>
      </c>
      <c r="N128" s="23">
        <f>Tabelle1[[#This Row],[Benzin-PHEV (HR)]]+Tabelle1[[#This Row],[Benzin-PHEV]]</f>
        <v>27.079758901754509</v>
      </c>
      <c r="O128" s="23">
        <f>Tabelle1[[#This Row],[Diesel-PHEV (HR)]]+Tabelle1[[#This Row],[Diesel-PHEV]]</f>
        <v>19.923752768125599</v>
      </c>
      <c r="P128" s="94">
        <f>Tabelle1[[#This Row],[BE 23 GES]]+Tabelle1[[#This Row],[NZL GESAMT]]</f>
        <v>7893</v>
      </c>
    </row>
    <row r="129" spans="1:16" ht="15" thickBot="1" x14ac:dyDescent="0.35">
      <c r="A129" s="29" t="s">
        <v>76</v>
      </c>
      <c r="B129" s="38">
        <f>Tabelle1[[#This Row],[BEV BE 06/24]]/Tabelle1[[#This Row],[BE 06/24]]</f>
        <v>0.26156941649899396</v>
      </c>
      <c r="C129" s="195"/>
      <c r="D129" s="8" t="s">
        <v>124</v>
      </c>
      <c r="E129" s="22">
        <v>99</v>
      </c>
      <c r="F129" s="23">
        <v>0</v>
      </c>
      <c r="G129" s="23">
        <v>0.67434240138271251</v>
      </c>
      <c r="H129" s="94">
        <v>392</v>
      </c>
      <c r="I129" s="180">
        <v>31</v>
      </c>
      <c r="J129" s="181">
        <v>0</v>
      </c>
      <c r="K129" s="181">
        <v>0.24521541868462274</v>
      </c>
      <c r="L129" s="182">
        <v>105</v>
      </c>
      <c r="M129" s="22">
        <f>Tabelle1[[#This Row],[BEV BE 23]]+Tabelle1[[#This Row],[BEV NZL]]</f>
        <v>130</v>
      </c>
      <c r="N129" s="23">
        <f>Tabelle1[[#This Row],[Benzin-PHEV (HR)]]+Tabelle1[[#This Row],[Benzin-PHEV]]</f>
        <v>0</v>
      </c>
      <c r="O129" s="23">
        <f>Tabelle1[[#This Row],[Diesel-PHEV (HR)]]+Tabelle1[[#This Row],[Diesel-PHEV]]</f>
        <v>0.91955782006733522</v>
      </c>
      <c r="P129" s="94">
        <f>Tabelle1[[#This Row],[BE 23 GES]]+Tabelle1[[#This Row],[NZL GESAMT]]</f>
        <v>497</v>
      </c>
    </row>
    <row r="130" spans="1:16" ht="15" thickBot="1" x14ac:dyDescent="0.35">
      <c r="A130" s="24" t="s">
        <v>174</v>
      </c>
      <c r="B130" s="196">
        <f>Tabelle1[[#This Row],[BEV BE 06/24]]/Tabelle1[[#This Row],[BE 06/24]]</f>
        <v>3.3474238282619674E-2</v>
      </c>
      <c r="C130" s="31"/>
      <c r="D130" s="31"/>
      <c r="E130" s="91">
        <f t="shared" ref="E130" si="4">E122+SUM(E127:E129)</f>
        <v>156149</v>
      </c>
      <c r="F130" s="92">
        <f t="shared" ref="F130:P130" si="5">F122+SUM(F127:F129)</f>
        <v>53604.519512482169</v>
      </c>
      <c r="G130" s="92">
        <f t="shared" si="5"/>
        <v>3413.6438435086329</v>
      </c>
      <c r="H130" s="93">
        <f t="shared" si="5"/>
        <v>5197277</v>
      </c>
      <c r="I130" s="28">
        <f t="shared" si="5"/>
        <v>22374</v>
      </c>
      <c r="J130" s="26">
        <f t="shared" si="5"/>
        <v>8896.3846315218561</v>
      </c>
      <c r="K130" s="26">
        <f t="shared" si="5"/>
        <v>458.92065606827134</v>
      </c>
      <c r="L130" s="27">
        <f t="shared" si="5"/>
        <v>135869</v>
      </c>
      <c r="M130" s="28">
        <f t="shared" si="5"/>
        <v>178523</v>
      </c>
      <c r="N130" s="26">
        <f t="shared" si="5"/>
        <v>62500.904144004024</v>
      </c>
      <c r="O130" s="26">
        <f t="shared" si="5"/>
        <v>3872.5644995769053</v>
      </c>
      <c r="P130" s="27">
        <f t="shared" si="5"/>
        <v>5333146</v>
      </c>
    </row>
    <row r="131" spans="1:16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9"/>
      <c r="M131" s="9"/>
      <c r="N131" s="9"/>
      <c r="O131" s="9"/>
      <c r="P131" s="9"/>
    </row>
    <row r="132" spans="1:16" ht="16.2" thickBot="1" x14ac:dyDescent="0.35">
      <c r="A132" s="186" t="s">
        <v>165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9"/>
      <c r="M132" s="9"/>
      <c r="N132" s="9"/>
      <c r="O132" s="9"/>
      <c r="P132" s="9"/>
    </row>
    <row r="133" spans="1:16" x14ac:dyDescent="0.3">
      <c r="B133" s="201" t="s">
        <v>237</v>
      </c>
      <c r="C133" s="202"/>
      <c r="D133" s="8"/>
      <c r="E133" s="201" t="s">
        <v>126</v>
      </c>
      <c r="F133" s="206"/>
      <c r="G133" s="206"/>
      <c r="H133" s="206"/>
      <c r="I133" s="201" t="s">
        <v>238</v>
      </c>
      <c r="J133" s="206"/>
      <c r="K133" s="206"/>
      <c r="L133" s="202"/>
      <c r="M133" s="201" t="s">
        <v>239</v>
      </c>
      <c r="N133" s="206"/>
      <c r="O133" s="206"/>
      <c r="P133" s="202"/>
    </row>
    <row r="134" spans="1:16" ht="30.6" x14ac:dyDescent="0.3">
      <c r="A134" s="194" t="s">
        <v>187</v>
      </c>
      <c r="B134" s="192" t="s">
        <v>152</v>
      </c>
      <c r="C134" s="193" t="s">
        <v>168</v>
      </c>
      <c r="D134" s="191" t="s">
        <v>167</v>
      </c>
      <c r="E134" s="187" t="s">
        <v>181</v>
      </c>
      <c r="F134" s="188" t="s">
        <v>236</v>
      </c>
      <c r="G134" s="188" t="s">
        <v>125</v>
      </c>
      <c r="H134" s="190" t="s">
        <v>180</v>
      </c>
      <c r="I134" s="187" t="s">
        <v>178</v>
      </c>
      <c r="J134" s="188" t="s">
        <v>129</v>
      </c>
      <c r="K134" s="188" t="s">
        <v>130</v>
      </c>
      <c r="L134" s="189" t="s">
        <v>179</v>
      </c>
      <c r="M134" s="187" t="s">
        <v>182</v>
      </c>
      <c r="N134" s="188" t="s">
        <v>183</v>
      </c>
      <c r="O134" s="188" t="s">
        <v>184</v>
      </c>
      <c r="P134" s="189" t="s">
        <v>185</v>
      </c>
    </row>
    <row r="135" spans="1:16" x14ac:dyDescent="0.3">
      <c r="A135" s="13" t="s">
        <v>0</v>
      </c>
      <c r="B135" s="38">
        <f>Tabelle2[[#This Row],[BEV BE 06/24]]/Tabelle2[[#This Row],[BE 06/24]]</f>
        <v>3.6520684952265493E-2</v>
      </c>
      <c r="C135" s="195"/>
      <c r="D135" s="8" t="s">
        <v>109</v>
      </c>
      <c r="E135" s="22">
        <v>435</v>
      </c>
      <c r="F135" s="23">
        <v>194.48190483987329</v>
      </c>
      <c r="G135" s="23">
        <v>12.873809480942693</v>
      </c>
      <c r="H135" s="94">
        <v>12962</v>
      </c>
      <c r="I135" s="180">
        <v>47</v>
      </c>
      <c r="J135" s="181">
        <v>23.250298046960943</v>
      </c>
      <c r="K135" s="181">
        <v>1.164773238751958</v>
      </c>
      <c r="L135" s="182">
        <v>236</v>
      </c>
      <c r="M135" s="19">
        <f>Tabelle2[[#This Row],[BEV BE 23]]+Tabelle2[[#This Row],[BEV NZL]]</f>
        <v>482</v>
      </c>
      <c r="N135" s="14">
        <f>Tabelle2[[#This Row],[Benzin-PHEV (HR)]]+Tabelle2[[#This Row],[Benzin-PHEV]]</f>
        <v>217.73220288683424</v>
      </c>
      <c r="O135" s="14">
        <f>Tabelle2[[#This Row],[Diesel-PHEV (HR)]]+Tabelle2[[#This Row],[Diesel-PHEV]]</f>
        <v>14.038582719694652</v>
      </c>
      <c r="P135" s="99">
        <f>Tabelle2[[#This Row],[BE 23 GES]]+Tabelle2[[#This Row],[NZL GESAMT]]</f>
        <v>13198</v>
      </c>
    </row>
    <row r="136" spans="1:16" x14ac:dyDescent="0.3">
      <c r="A136" s="13" t="s">
        <v>5</v>
      </c>
      <c r="B136" s="38">
        <f>Tabelle2[[#This Row],[BEV BE 06/24]]/Tabelle2[[#This Row],[BE 06/24]]</f>
        <v>3.0151590871231052E-2</v>
      </c>
      <c r="C136" s="195"/>
      <c r="D136" s="8" t="s">
        <v>109</v>
      </c>
      <c r="E136" s="22">
        <v>621</v>
      </c>
      <c r="F136" s="23">
        <v>363.79878120538888</v>
      </c>
      <c r="G136" s="23">
        <v>25.99283438057001</v>
      </c>
      <c r="H136" s="94">
        <v>23562</v>
      </c>
      <c r="I136" s="180">
        <v>103</v>
      </c>
      <c r="J136" s="181">
        <v>35.012213529541185</v>
      </c>
      <c r="K136" s="181">
        <v>2.2069387681616046</v>
      </c>
      <c r="L136" s="182">
        <v>450</v>
      </c>
      <c r="M136" s="19">
        <f>Tabelle2[[#This Row],[BEV BE 23]]+Tabelle2[[#This Row],[BEV NZL]]</f>
        <v>724</v>
      </c>
      <c r="N136" s="14">
        <f>Tabelle2[[#This Row],[Benzin-PHEV (HR)]]+Tabelle2[[#This Row],[Benzin-PHEV]]</f>
        <v>398.81099473493009</v>
      </c>
      <c r="O136" s="14">
        <f>Tabelle2[[#This Row],[Diesel-PHEV (HR)]]+Tabelle2[[#This Row],[Diesel-PHEV]]</f>
        <v>28.199773148731616</v>
      </c>
      <c r="P136" s="99">
        <f>Tabelle2[[#This Row],[BE 23 GES]]+Tabelle2[[#This Row],[NZL GESAMT]]</f>
        <v>24012</v>
      </c>
    </row>
    <row r="137" spans="1:16" x14ac:dyDescent="0.3">
      <c r="A137" s="13" t="s">
        <v>9</v>
      </c>
      <c r="B137" s="38">
        <f>Tabelle2[[#This Row],[BEV BE 06/24]]/Tabelle2[[#This Row],[BE 06/24]]</f>
        <v>3.9862265789800226E-2</v>
      </c>
      <c r="C137" s="195"/>
      <c r="D137" s="8" t="s">
        <v>109</v>
      </c>
      <c r="E137" s="22">
        <v>1067</v>
      </c>
      <c r="F137" s="23">
        <v>522.99493959752147</v>
      </c>
      <c r="G137" s="23">
        <v>29.119330968798952</v>
      </c>
      <c r="H137" s="94">
        <v>30886</v>
      </c>
      <c r="I137" s="180">
        <v>218</v>
      </c>
      <c r="J137" s="181">
        <v>95.462988451639632</v>
      </c>
      <c r="K137" s="181">
        <v>5.8238661937597902</v>
      </c>
      <c r="L137" s="182">
        <v>1350</v>
      </c>
      <c r="M137" s="19">
        <f>Tabelle2[[#This Row],[BEV BE 23]]+Tabelle2[[#This Row],[BEV NZL]]</f>
        <v>1285</v>
      </c>
      <c r="N137" s="14">
        <f>Tabelle2[[#This Row],[Benzin-PHEV (HR)]]+Tabelle2[[#This Row],[Benzin-PHEV]]</f>
        <v>618.45792804916107</v>
      </c>
      <c r="O137" s="14">
        <f>Tabelle2[[#This Row],[Diesel-PHEV (HR)]]+Tabelle2[[#This Row],[Diesel-PHEV]]</f>
        <v>34.943197162558739</v>
      </c>
      <c r="P137" s="99">
        <f>Tabelle2[[#This Row],[BE 23 GES]]+Tabelle2[[#This Row],[NZL GESAMT]]</f>
        <v>32236</v>
      </c>
    </row>
    <row r="138" spans="1:16" x14ac:dyDescent="0.3">
      <c r="A138" s="13" t="s">
        <v>10</v>
      </c>
      <c r="B138" s="38">
        <f>Tabelle2[[#This Row],[BEV BE 06/24]]/Tabelle2[[#This Row],[BE 06/24]]</f>
        <v>4.0151217491955951E-2</v>
      </c>
      <c r="C138" s="195"/>
      <c r="D138" s="8" t="s">
        <v>109</v>
      </c>
      <c r="E138" s="22">
        <v>3262</v>
      </c>
      <c r="F138" s="23">
        <v>1638.7357129334473</v>
      </c>
      <c r="G138" s="23">
        <v>83.373242352771726</v>
      </c>
      <c r="H138" s="94">
        <v>91601</v>
      </c>
      <c r="I138" s="180">
        <v>519</v>
      </c>
      <c r="J138" s="181">
        <v>224.57052584182276</v>
      </c>
      <c r="K138" s="181">
        <v>10.421655294096466</v>
      </c>
      <c r="L138" s="182">
        <v>2568</v>
      </c>
      <c r="M138" s="19">
        <f>Tabelle2[[#This Row],[BEV BE 23]]+Tabelle2[[#This Row],[BEV NZL]]</f>
        <v>3781</v>
      </c>
      <c r="N138" s="14">
        <f>Tabelle2[[#This Row],[Benzin-PHEV (HR)]]+Tabelle2[[#This Row],[Benzin-PHEV]]</f>
        <v>1863.30623877527</v>
      </c>
      <c r="O138" s="14">
        <f>Tabelle2[[#This Row],[Diesel-PHEV (HR)]]+Tabelle2[[#This Row],[Diesel-PHEV]]</f>
        <v>93.794897646868193</v>
      </c>
      <c r="P138" s="99">
        <f>Tabelle2[[#This Row],[BE 23 GES]]+Tabelle2[[#This Row],[NZL GESAMT]]</f>
        <v>94169</v>
      </c>
    </row>
    <row r="139" spans="1:16" x14ac:dyDescent="0.3">
      <c r="A139" s="13" t="s">
        <v>15</v>
      </c>
      <c r="B139" s="38">
        <f>Tabelle2[[#This Row],[BEV BE 06/24]]/Tabelle2[[#This Row],[BE 06/24]]</f>
        <v>3.3605775779866502E-2</v>
      </c>
      <c r="C139" s="195"/>
      <c r="D139" s="8" t="s">
        <v>109</v>
      </c>
      <c r="E139" s="22">
        <v>2040</v>
      </c>
      <c r="F139" s="23">
        <v>1033.1338320396644</v>
      </c>
      <c r="G139" s="23">
        <v>66.575986172875076</v>
      </c>
      <c r="H139" s="94">
        <v>70989</v>
      </c>
      <c r="I139" s="180">
        <v>427</v>
      </c>
      <c r="J139" s="181">
        <v>238.24717175179978</v>
      </c>
      <c r="K139" s="181">
        <v>7.1112471418540597</v>
      </c>
      <c r="L139" s="182">
        <v>2421</v>
      </c>
      <c r="M139" s="19">
        <f>Tabelle2[[#This Row],[BEV BE 23]]+Tabelle2[[#This Row],[BEV NZL]]</f>
        <v>2467</v>
      </c>
      <c r="N139" s="14">
        <f>Tabelle2[[#This Row],[Benzin-PHEV (HR)]]+Tabelle2[[#This Row],[Benzin-PHEV]]</f>
        <v>1271.3810037914641</v>
      </c>
      <c r="O139" s="14">
        <f>Tabelle2[[#This Row],[Diesel-PHEV (HR)]]+Tabelle2[[#This Row],[Diesel-PHEV]]</f>
        <v>73.687233314729141</v>
      </c>
      <c r="P139" s="99">
        <f>Tabelle2[[#This Row],[BE 23 GES]]+Tabelle2[[#This Row],[NZL GESAMT]]</f>
        <v>73410</v>
      </c>
    </row>
    <row r="140" spans="1:16" x14ac:dyDescent="0.3">
      <c r="A140" s="13" t="s">
        <v>18</v>
      </c>
      <c r="B140" s="38">
        <f>Tabelle2[[#This Row],[BEV BE 06/24]]/Tabelle2[[#This Row],[BE 06/24]]</f>
        <v>2.2701491492192423E-2</v>
      </c>
      <c r="C140" s="195"/>
      <c r="D140" s="8" t="s">
        <v>109</v>
      </c>
      <c r="E140" s="22">
        <v>1370</v>
      </c>
      <c r="F140" s="23">
        <v>985.53910427294443</v>
      </c>
      <c r="G140" s="23">
        <v>49.288299155609174</v>
      </c>
      <c r="H140" s="94">
        <v>69641</v>
      </c>
      <c r="I140" s="180">
        <v>251</v>
      </c>
      <c r="J140" s="181">
        <v>136.21939326337116</v>
      </c>
      <c r="K140" s="181">
        <v>4.7203968096789879</v>
      </c>
      <c r="L140" s="182">
        <v>1764</v>
      </c>
      <c r="M140" s="19">
        <f>Tabelle2[[#This Row],[BEV BE 23]]+Tabelle2[[#This Row],[BEV NZL]]</f>
        <v>1621</v>
      </c>
      <c r="N140" s="14">
        <f>Tabelle2[[#This Row],[Benzin-PHEV (HR)]]+Tabelle2[[#This Row],[Benzin-PHEV]]</f>
        <v>1121.7584975363156</v>
      </c>
      <c r="O140" s="14">
        <f>Tabelle2[[#This Row],[Diesel-PHEV (HR)]]+Tabelle2[[#This Row],[Diesel-PHEV]]</f>
        <v>54.008695965288162</v>
      </c>
      <c r="P140" s="99">
        <f>Tabelle2[[#This Row],[BE 23 GES]]+Tabelle2[[#This Row],[NZL GESAMT]]</f>
        <v>71405</v>
      </c>
    </row>
    <row r="141" spans="1:16" x14ac:dyDescent="0.3">
      <c r="A141" s="13" t="s">
        <v>30</v>
      </c>
      <c r="B141" s="38">
        <f>Tabelle2[[#This Row],[BEV BE 06/24]]/Tabelle2[[#This Row],[BE 06/24]]</f>
        <v>2.1846171260399571E-2</v>
      </c>
      <c r="C141" s="195"/>
      <c r="D141" s="8" t="s">
        <v>109</v>
      </c>
      <c r="E141" s="22">
        <v>353</v>
      </c>
      <c r="F141" s="23">
        <v>222.38226249622645</v>
      </c>
      <c r="G141" s="23">
        <v>8.0308049619213939</v>
      </c>
      <c r="H141" s="94">
        <v>17441</v>
      </c>
      <c r="I141" s="180">
        <v>33</v>
      </c>
      <c r="J141" s="181">
        <v>26.80622598355497</v>
      </c>
      <c r="K141" s="181">
        <v>0.55173469204040115</v>
      </c>
      <c r="L141" s="182">
        <v>228</v>
      </c>
      <c r="M141" s="19">
        <f>Tabelle2[[#This Row],[BEV BE 23]]+Tabelle2[[#This Row],[BEV NZL]]</f>
        <v>386</v>
      </c>
      <c r="N141" s="14">
        <f>Tabelle2[[#This Row],[Benzin-PHEV (HR)]]+Tabelle2[[#This Row],[Benzin-PHEV]]</f>
        <v>249.18848847978143</v>
      </c>
      <c r="O141" s="14">
        <f>Tabelle2[[#This Row],[Diesel-PHEV (HR)]]+Tabelle2[[#This Row],[Diesel-PHEV]]</f>
        <v>8.5825396539617955</v>
      </c>
      <c r="P141" s="99">
        <f>Tabelle2[[#This Row],[BE 23 GES]]+Tabelle2[[#This Row],[NZL GESAMT]]</f>
        <v>17669</v>
      </c>
    </row>
    <row r="142" spans="1:16" x14ac:dyDescent="0.3">
      <c r="A142" s="13" t="s">
        <v>31</v>
      </c>
      <c r="B142" s="38">
        <f>Tabelle2[[#This Row],[BEV BE 06/24]]/Tabelle2[[#This Row],[BE 06/24]]</f>
        <v>3.0575035063113605E-2</v>
      </c>
      <c r="C142" s="195"/>
      <c r="D142" s="8" t="s">
        <v>109</v>
      </c>
      <c r="E142" s="22">
        <v>661</v>
      </c>
      <c r="F142" s="23">
        <v>330.70129810324448</v>
      </c>
      <c r="G142" s="23">
        <v>18.75897952937364</v>
      </c>
      <c r="H142" s="94">
        <v>24307</v>
      </c>
      <c r="I142" s="180">
        <v>102</v>
      </c>
      <c r="J142" s="181">
        <v>44.859398584724644</v>
      </c>
      <c r="K142" s="181">
        <v>1.7778117854635149</v>
      </c>
      <c r="L142" s="182">
        <v>648</v>
      </c>
      <c r="M142" s="19">
        <f>Tabelle2[[#This Row],[BEV BE 23]]+Tabelle2[[#This Row],[BEV NZL]]</f>
        <v>763</v>
      </c>
      <c r="N142" s="14">
        <f>Tabelle2[[#This Row],[Benzin-PHEV (HR)]]+Tabelle2[[#This Row],[Benzin-PHEV]]</f>
        <v>375.56069668796914</v>
      </c>
      <c r="O142" s="14">
        <f>Tabelle2[[#This Row],[Diesel-PHEV (HR)]]+Tabelle2[[#This Row],[Diesel-PHEV]]</f>
        <v>20.536791314837156</v>
      </c>
      <c r="P142" s="99">
        <f>Tabelle2[[#This Row],[BE 23 GES]]+Tabelle2[[#This Row],[NZL GESAMT]]</f>
        <v>24955</v>
      </c>
    </row>
    <row r="143" spans="1:16" x14ac:dyDescent="0.3">
      <c r="A143" s="13" t="s">
        <v>35</v>
      </c>
      <c r="B143" s="38">
        <f>Tabelle2[[#This Row],[BEV BE 06/24]]/Tabelle2[[#This Row],[BE 06/24]]</f>
        <v>0.11680376028202115</v>
      </c>
      <c r="C143" s="195"/>
      <c r="D143" s="8" t="s">
        <v>109</v>
      </c>
      <c r="E143" s="22">
        <v>1737</v>
      </c>
      <c r="F143" s="23">
        <v>484.97386396778535</v>
      </c>
      <c r="G143" s="23">
        <v>46.284410276722539</v>
      </c>
      <c r="H143" s="94">
        <v>16160</v>
      </c>
      <c r="I143" s="180">
        <v>251</v>
      </c>
      <c r="J143" s="181">
        <v>76.315684177671798</v>
      </c>
      <c r="K143" s="181">
        <v>6.1916893217867237</v>
      </c>
      <c r="L143" s="182">
        <v>860</v>
      </c>
      <c r="M143" s="19">
        <f>Tabelle2[[#This Row],[BEV BE 23]]+Tabelle2[[#This Row],[BEV NZL]]</f>
        <v>1988</v>
      </c>
      <c r="N143" s="14">
        <f>Tabelle2[[#This Row],[Benzin-PHEV (HR)]]+Tabelle2[[#This Row],[Benzin-PHEV]]</f>
        <v>561.28954814545716</v>
      </c>
      <c r="O143" s="14">
        <f>Tabelle2[[#This Row],[Diesel-PHEV (HR)]]+Tabelle2[[#This Row],[Diesel-PHEV]]</f>
        <v>52.476099598509265</v>
      </c>
      <c r="P143" s="99">
        <f>Tabelle2[[#This Row],[BE 23 GES]]+Tabelle2[[#This Row],[NZL GESAMT]]</f>
        <v>17020</v>
      </c>
    </row>
    <row r="144" spans="1:16" x14ac:dyDescent="0.3">
      <c r="A144" s="13" t="s">
        <v>39</v>
      </c>
      <c r="B144" s="38">
        <f>Tabelle2[[#This Row],[BEV BE 06/24]]/Tabelle2[[#This Row],[BE 06/24]]</f>
        <v>3.3208800332088007E-2</v>
      </c>
      <c r="C144" s="195"/>
      <c r="D144" s="8" t="s">
        <v>109</v>
      </c>
      <c r="E144" s="22">
        <v>214</v>
      </c>
      <c r="F144" s="23">
        <v>98.198317633635043</v>
      </c>
      <c r="G144" s="23">
        <v>5.8238661937597902</v>
      </c>
      <c r="H144" s="94">
        <v>7133</v>
      </c>
      <c r="I144" s="180">
        <v>26</v>
      </c>
      <c r="J144" s="181">
        <v>8.2059875459862148</v>
      </c>
      <c r="K144" s="181">
        <v>0.4291269826980898</v>
      </c>
      <c r="L144" s="182">
        <v>94</v>
      </c>
      <c r="M144" s="19">
        <f>Tabelle2[[#This Row],[BEV BE 23]]+Tabelle2[[#This Row],[BEV NZL]]</f>
        <v>240</v>
      </c>
      <c r="N144" s="14">
        <f>Tabelle2[[#This Row],[Benzin-PHEV (HR)]]+Tabelle2[[#This Row],[Benzin-PHEV]]</f>
        <v>106.40430517962126</v>
      </c>
      <c r="O144" s="14">
        <f>Tabelle2[[#This Row],[Diesel-PHEV (HR)]]+Tabelle2[[#This Row],[Diesel-PHEV]]</f>
        <v>6.2529931764578803</v>
      </c>
      <c r="P144" s="99">
        <f>Tabelle2[[#This Row],[BE 23 GES]]+Tabelle2[[#This Row],[NZL GESAMT]]</f>
        <v>7227</v>
      </c>
    </row>
    <row r="145" spans="1:16" x14ac:dyDescent="0.3">
      <c r="A145" s="13" t="s">
        <v>49</v>
      </c>
      <c r="B145" s="38">
        <f>Tabelle2[[#This Row],[BEV BE 06/24]]/Tabelle2[[#This Row],[BE 06/24]]</f>
        <v>5.8148692638874303E-2</v>
      </c>
      <c r="C145" s="195"/>
      <c r="D145" s="8" t="s">
        <v>109</v>
      </c>
      <c r="E145" s="22">
        <v>1796</v>
      </c>
      <c r="F145" s="23">
        <v>625.29625100414955</v>
      </c>
      <c r="G145" s="23">
        <v>62.223412491223023</v>
      </c>
      <c r="H145" s="94">
        <v>36145</v>
      </c>
      <c r="I145" s="180">
        <v>419</v>
      </c>
      <c r="J145" s="181">
        <v>197.76429985826778</v>
      </c>
      <c r="K145" s="181">
        <v>6.7434240138271253</v>
      </c>
      <c r="L145" s="182">
        <v>1947</v>
      </c>
      <c r="M145" s="19">
        <f>Tabelle2[[#This Row],[BEV BE 23]]+Tabelle2[[#This Row],[BEV NZL]]</f>
        <v>2215</v>
      </c>
      <c r="N145" s="14">
        <f>Tabelle2[[#This Row],[Benzin-PHEV (HR)]]+Tabelle2[[#This Row],[Benzin-PHEV]]</f>
        <v>823.06055086241736</v>
      </c>
      <c r="O145" s="14">
        <f>Tabelle2[[#This Row],[Diesel-PHEV (HR)]]+Tabelle2[[#This Row],[Diesel-PHEV]]</f>
        <v>68.966836505050154</v>
      </c>
      <c r="P145" s="99">
        <f>Tabelle2[[#This Row],[BE 23 GES]]+Tabelle2[[#This Row],[NZL GESAMT]]</f>
        <v>38092</v>
      </c>
    </row>
    <row r="146" spans="1:16" x14ac:dyDescent="0.3">
      <c r="A146" s="13" t="s">
        <v>53</v>
      </c>
      <c r="B146" s="38">
        <f>Tabelle2[[#This Row],[BEV BE 06/24]]/Tabelle2[[#This Row],[BE 06/24]]</f>
        <v>6.135309958080009E-2</v>
      </c>
      <c r="C146" s="195"/>
      <c r="D146" s="8" t="s">
        <v>109</v>
      </c>
      <c r="E146" s="22">
        <v>1857</v>
      </c>
      <c r="F146" s="23">
        <v>501.93290489615686</v>
      </c>
      <c r="G146" s="23">
        <v>52.046972615811178</v>
      </c>
      <c r="H146" s="94">
        <v>34545</v>
      </c>
      <c r="I146" s="180">
        <v>353</v>
      </c>
      <c r="J146" s="181">
        <v>67.289097877086959</v>
      </c>
      <c r="K146" s="181">
        <v>5.0882199377059214</v>
      </c>
      <c r="L146" s="182">
        <v>1476</v>
      </c>
      <c r="M146" s="19">
        <f>Tabelle2[[#This Row],[BEV BE 23]]+Tabelle2[[#This Row],[BEV NZL]]</f>
        <v>2210</v>
      </c>
      <c r="N146" s="14">
        <f>Tabelle2[[#This Row],[Benzin-PHEV (HR)]]+Tabelle2[[#This Row],[Benzin-PHEV]]</f>
        <v>569.22200277324384</v>
      </c>
      <c r="O146" s="14">
        <f>Tabelle2[[#This Row],[Diesel-PHEV (HR)]]+Tabelle2[[#This Row],[Diesel-PHEV]]</f>
        <v>57.135192553517101</v>
      </c>
      <c r="P146" s="99">
        <f>Tabelle2[[#This Row],[BE 23 GES]]+Tabelle2[[#This Row],[NZL GESAMT]]</f>
        <v>36021</v>
      </c>
    </row>
    <row r="147" spans="1:16" x14ac:dyDescent="0.3">
      <c r="A147" s="13" t="s">
        <v>55</v>
      </c>
      <c r="B147" s="38">
        <f>Tabelle2[[#This Row],[BEV BE 06/24]]/Tabelle2[[#This Row],[BE 06/24]]</f>
        <v>8.5693038155711915E-2</v>
      </c>
      <c r="C147" s="195"/>
      <c r="D147" s="8" t="s">
        <v>109</v>
      </c>
      <c r="E147" s="22">
        <v>4366</v>
      </c>
      <c r="F147" s="23">
        <v>969.40066209917154</v>
      </c>
      <c r="G147" s="23">
        <v>75.281133536179183</v>
      </c>
      <c r="H147" s="94">
        <v>62560</v>
      </c>
      <c r="I147" s="180">
        <v>1626</v>
      </c>
      <c r="J147" s="181">
        <v>346.56620735881785</v>
      </c>
      <c r="K147" s="181">
        <v>46.284410276722539</v>
      </c>
      <c r="L147" s="182">
        <v>7364</v>
      </c>
      <c r="M147" s="19">
        <f>Tabelle2[[#This Row],[BEV BE 23]]+Tabelle2[[#This Row],[BEV NZL]]</f>
        <v>5992</v>
      </c>
      <c r="N147" s="14">
        <f>Tabelle2[[#This Row],[Benzin-PHEV (HR)]]+Tabelle2[[#This Row],[Benzin-PHEV]]</f>
        <v>1315.9668694579893</v>
      </c>
      <c r="O147" s="14">
        <f>Tabelle2[[#This Row],[Diesel-PHEV (HR)]]+Tabelle2[[#This Row],[Diesel-PHEV]]</f>
        <v>121.56554381290172</v>
      </c>
      <c r="P147" s="99">
        <f>Tabelle2[[#This Row],[BE 23 GES]]+Tabelle2[[#This Row],[NZL GESAMT]]</f>
        <v>69924</v>
      </c>
    </row>
    <row r="148" spans="1:16" x14ac:dyDescent="0.3">
      <c r="A148" s="13" t="s">
        <v>59</v>
      </c>
      <c r="B148" s="38">
        <f>Tabelle2[[#This Row],[BEV BE 06/24]]/Tabelle2[[#This Row],[BE 06/24]]</f>
        <v>2.7382943143812708E-2</v>
      </c>
      <c r="C148" s="195"/>
      <c r="D148" s="8" t="s">
        <v>109</v>
      </c>
      <c r="E148" s="22">
        <v>347</v>
      </c>
      <c r="F148" s="23">
        <v>173.41987013850868</v>
      </c>
      <c r="G148" s="23">
        <v>8.4599319446194841</v>
      </c>
      <c r="H148" s="94">
        <v>14120</v>
      </c>
      <c r="I148" s="180">
        <v>46</v>
      </c>
      <c r="J148" s="181">
        <v>17.232573846571054</v>
      </c>
      <c r="K148" s="181">
        <v>0.61303854671155689</v>
      </c>
      <c r="L148" s="182">
        <v>232</v>
      </c>
      <c r="M148" s="19">
        <f>Tabelle2[[#This Row],[BEV BE 23]]+Tabelle2[[#This Row],[BEV NZL]]</f>
        <v>393</v>
      </c>
      <c r="N148" s="14">
        <f>Tabelle2[[#This Row],[Benzin-PHEV (HR)]]+Tabelle2[[#This Row],[Benzin-PHEV]]</f>
        <v>190.65244398507974</v>
      </c>
      <c r="O148" s="14">
        <f>Tabelle2[[#This Row],[Diesel-PHEV (HR)]]+Tabelle2[[#This Row],[Diesel-PHEV]]</f>
        <v>9.0729704913310414</v>
      </c>
      <c r="P148" s="99">
        <f>Tabelle2[[#This Row],[BE 23 GES]]+Tabelle2[[#This Row],[NZL GESAMT]]</f>
        <v>14352</v>
      </c>
    </row>
    <row r="149" spans="1:16" x14ac:dyDescent="0.3">
      <c r="A149" s="13" t="s">
        <v>60</v>
      </c>
      <c r="B149" s="38">
        <f>Tabelle2[[#This Row],[BEV BE 06/24]]/Tabelle2[[#This Row],[BE 06/24]]</f>
        <v>4.9581654787728538E-2</v>
      </c>
      <c r="C149" s="195"/>
      <c r="D149" s="8" t="s">
        <v>109</v>
      </c>
      <c r="E149" s="22">
        <v>436</v>
      </c>
      <c r="F149" s="23">
        <v>122.26921443519461</v>
      </c>
      <c r="G149" s="23">
        <v>11.341213114163802</v>
      </c>
      <c r="H149" s="94">
        <v>9508</v>
      </c>
      <c r="I149" s="180">
        <v>44</v>
      </c>
      <c r="J149" s="181">
        <v>11.761915482580243</v>
      </c>
      <c r="K149" s="181">
        <v>0.4291269826980898</v>
      </c>
      <c r="L149" s="182">
        <v>173</v>
      </c>
      <c r="M149" s="19">
        <f>Tabelle2[[#This Row],[BEV BE 23]]+Tabelle2[[#This Row],[BEV NZL]]</f>
        <v>480</v>
      </c>
      <c r="N149" s="14">
        <f>Tabelle2[[#This Row],[Benzin-PHEV (HR)]]+Tabelle2[[#This Row],[Benzin-PHEV]]</f>
        <v>134.03112991777485</v>
      </c>
      <c r="O149" s="14">
        <f>Tabelle2[[#This Row],[Diesel-PHEV (HR)]]+Tabelle2[[#This Row],[Diesel-PHEV]]</f>
        <v>11.770340096861892</v>
      </c>
      <c r="P149" s="99">
        <f>Tabelle2[[#This Row],[BE 23 GES]]+Tabelle2[[#This Row],[NZL GESAMT]]</f>
        <v>9681</v>
      </c>
    </row>
    <row r="150" spans="1:16" x14ac:dyDescent="0.3">
      <c r="A150" s="13" t="s">
        <v>62</v>
      </c>
      <c r="B150" s="38">
        <f>Tabelle2[[#This Row],[BEV BE 06/24]]/Tabelle2[[#This Row],[BE 06/24]]</f>
        <v>4.1123207933599221E-2</v>
      </c>
      <c r="C150" s="195"/>
      <c r="D150" s="8" t="s">
        <v>109</v>
      </c>
      <c r="E150" s="22">
        <v>1224</v>
      </c>
      <c r="F150" s="23">
        <v>455.70584172043448</v>
      </c>
      <c r="G150" s="23">
        <v>40.705759501647371</v>
      </c>
      <c r="H150" s="94">
        <v>34531</v>
      </c>
      <c r="I150" s="180">
        <v>302</v>
      </c>
      <c r="J150" s="181">
        <v>236.60597424260254</v>
      </c>
      <c r="K150" s="181">
        <v>4.7817006643501436</v>
      </c>
      <c r="L150" s="182">
        <v>2577</v>
      </c>
      <c r="M150" s="19">
        <f>Tabelle2[[#This Row],[BEV BE 23]]+Tabelle2[[#This Row],[BEV NZL]]</f>
        <v>1526</v>
      </c>
      <c r="N150" s="14">
        <f>Tabelle2[[#This Row],[Benzin-PHEV (HR)]]+Tabelle2[[#This Row],[Benzin-PHEV]]</f>
        <v>692.31181596303702</v>
      </c>
      <c r="O150" s="14">
        <f>Tabelle2[[#This Row],[Diesel-PHEV (HR)]]+Tabelle2[[#This Row],[Diesel-PHEV]]</f>
        <v>45.487460165997518</v>
      </c>
      <c r="P150" s="99">
        <f>Tabelle2[[#This Row],[BE 23 GES]]+Tabelle2[[#This Row],[NZL GESAMT]]</f>
        <v>37108</v>
      </c>
    </row>
    <row r="151" spans="1:16" x14ac:dyDescent="0.3">
      <c r="A151" s="13" t="s">
        <v>68</v>
      </c>
      <c r="B151" s="38">
        <f>Tabelle2[[#This Row],[BEV BE 06/24]]/Tabelle2[[#This Row],[BE 06/24]]</f>
        <v>4.3644472762026126E-2</v>
      </c>
      <c r="C151" s="195"/>
      <c r="D151" s="8" t="s">
        <v>109</v>
      </c>
      <c r="E151" s="22">
        <v>376</v>
      </c>
      <c r="F151" s="23">
        <v>126.09867528998818</v>
      </c>
      <c r="G151" s="23">
        <v>8.2147165259348611</v>
      </c>
      <c r="H151" s="94">
        <v>9273</v>
      </c>
      <c r="I151" s="180">
        <v>35</v>
      </c>
      <c r="J151" s="181">
        <v>10.394250891582539</v>
      </c>
      <c r="K151" s="181">
        <v>0.55173469204040115</v>
      </c>
      <c r="L151" s="182">
        <v>144</v>
      </c>
      <c r="M151" s="19">
        <f>Tabelle2[[#This Row],[BEV BE 23]]+Tabelle2[[#This Row],[BEV NZL]]</f>
        <v>411</v>
      </c>
      <c r="N151" s="14">
        <f>Tabelle2[[#This Row],[Benzin-PHEV (HR)]]+Tabelle2[[#This Row],[Benzin-PHEV]]</f>
        <v>136.49292618157071</v>
      </c>
      <c r="O151" s="14">
        <f>Tabelle2[[#This Row],[Diesel-PHEV (HR)]]+Tabelle2[[#This Row],[Diesel-PHEV]]</f>
        <v>8.7664512179752627</v>
      </c>
      <c r="P151" s="99">
        <f>Tabelle2[[#This Row],[BE 23 GES]]+Tabelle2[[#This Row],[NZL GESAMT]]</f>
        <v>9417</v>
      </c>
    </row>
    <row r="152" spans="1:16" x14ac:dyDescent="0.3">
      <c r="A152" s="13" t="s">
        <v>73</v>
      </c>
      <c r="B152" s="38">
        <f>Tabelle2[[#This Row],[BEV BE 06/24]]/Tabelle2[[#This Row],[BE 06/24]]</f>
        <v>7.0101765571358512E-2</v>
      </c>
      <c r="C152" s="195"/>
      <c r="D152" s="8" t="s">
        <v>109</v>
      </c>
      <c r="E152" s="22">
        <v>2199</v>
      </c>
      <c r="F152" s="23">
        <v>376.65482836076728</v>
      </c>
      <c r="G152" s="23">
        <v>17.287687017265903</v>
      </c>
      <c r="H152" s="94">
        <v>32256</v>
      </c>
      <c r="I152" s="180">
        <v>88</v>
      </c>
      <c r="J152" s="181">
        <v>28.994489329151293</v>
      </c>
      <c r="K152" s="181">
        <v>1.4712925121077365</v>
      </c>
      <c r="L152" s="182">
        <v>368</v>
      </c>
      <c r="M152" s="19">
        <f>Tabelle2[[#This Row],[BEV BE 23]]+Tabelle2[[#This Row],[BEV NZL]]</f>
        <v>2287</v>
      </c>
      <c r="N152" s="14">
        <f>Tabelle2[[#This Row],[Benzin-PHEV (HR)]]+Tabelle2[[#This Row],[Benzin-PHEV]]</f>
        <v>405.64931768991858</v>
      </c>
      <c r="O152" s="14">
        <f>Tabelle2[[#This Row],[Diesel-PHEV (HR)]]+Tabelle2[[#This Row],[Diesel-PHEV]]</f>
        <v>18.75897952937364</v>
      </c>
      <c r="P152" s="99">
        <f>Tabelle2[[#This Row],[BE 23 GES]]+Tabelle2[[#This Row],[NZL GESAMT]]</f>
        <v>32624</v>
      </c>
    </row>
    <row r="153" spans="1:16" x14ac:dyDescent="0.3">
      <c r="A153" s="13" t="s">
        <v>74</v>
      </c>
      <c r="B153" s="38">
        <f>Tabelle2[[#This Row],[BEV BE 06/24]]/Tabelle2[[#This Row],[BE 06/24]]</f>
        <v>1.9751835907824766E-2</v>
      </c>
      <c r="C153" s="195"/>
      <c r="D153" s="8" t="s">
        <v>109</v>
      </c>
      <c r="E153" s="22">
        <v>632</v>
      </c>
      <c r="F153" s="23">
        <v>461.1765000844253</v>
      </c>
      <c r="G153" s="23">
        <v>20.598095169508309</v>
      </c>
      <c r="H153" s="94">
        <v>35053</v>
      </c>
      <c r="I153" s="180">
        <v>70</v>
      </c>
      <c r="J153" s="181">
        <v>44.585865666525102</v>
      </c>
      <c r="K153" s="181">
        <v>1.7165079307923592</v>
      </c>
      <c r="L153" s="182">
        <v>488</v>
      </c>
      <c r="M153" s="19">
        <f>Tabelle2[[#This Row],[BEV BE 23]]+Tabelle2[[#This Row],[BEV NZL]]</f>
        <v>702</v>
      </c>
      <c r="N153" s="14">
        <f>Tabelle2[[#This Row],[Benzin-PHEV (HR)]]+Tabelle2[[#This Row],[Benzin-PHEV]]</f>
        <v>505.76236575095038</v>
      </c>
      <c r="O153" s="14">
        <f>Tabelle2[[#This Row],[Diesel-PHEV (HR)]]+Tabelle2[[#This Row],[Diesel-PHEV]]</f>
        <v>22.314603100300669</v>
      </c>
      <c r="P153" s="99">
        <f>Tabelle2[[#This Row],[BE 23 GES]]+Tabelle2[[#This Row],[NZL GESAMT]]</f>
        <v>35541</v>
      </c>
    </row>
    <row r="154" spans="1:16" x14ac:dyDescent="0.3">
      <c r="A154" s="13" t="s">
        <v>79</v>
      </c>
      <c r="B154" s="38">
        <f>Tabelle2[[#This Row],[BEV BE 06/24]]/Tabelle2[[#This Row],[BE 06/24]]</f>
        <v>2.8994566524017888E-2</v>
      </c>
      <c r="C154" s="195"/>
      <c r="D154" s="8" t="s">
        <v>109</v>
      </c>
      <c r="E154" s="22">
        <v>513</v>
      </c>
      <c r="F154" s="23">
        <v>260.40333812596259</v>
      </c>
      <c r="G154" s="23">
        <v>10.850782276794556</v>
      </c>
      <c r="H154" s="94">
        <v>20358</v>
      </c>
      <c r="I154" s="180">
        <v>90</v>
      </c>
      <c r="J154" s="181">
        <v>32.550417265745324</v>
      </c>
      <c r="K154" s="181">
        <v>1.2873809480942693</v>
      </c>
      <c r="L154" s="182">
        <v>439</v>
      </c>
      <c r="M154" s="19">
        <f>Tabelle2[[#This Row],[BEV BE 23]]+Tabelle2[[#This Row],[BEV NZL]]</f>
        <v>603</v>
      </c>
      <c r="N154" s="14">
        <f>Tabelle2[[#This Row],[Benzin-PHEV (HR)]]+Tabelle2[[#This Row],[Benzin-PHEV]]</f>
        <v>292.95375539170789</v>
      </c>
      <c r="O154" s="14">
        <f>Tabelle2[[#This Row],[Diesel-PHEV (HR)]]+Tabelle2[[#This Row],[Diesel-PHEV]]</f>
        <v>12.138163224888824</v>
      </c>
      <c r="P154" s="99">
        <f>Tabelle2[[#This Row],[BE 23 GES]]+Tabelle2[[#This Row],[NZL GESAMT]]</f>
        <v>20797</v>
      </c>
    </row>
    <row r="155" spans="1:16" x14ac:dyDescent="0.3">
      <c r="A155" s="13" t="s">
        <v>85</v>
      </c>
      <c r="B155" s="38">
        <f>Tabelle2[[#This Row],[BEV BE 06/24]]/Tabelle2[[#This Row],[BE 06/24]]</f>
        <v>2.3213150041583093E-2</v>
      </c>
      <c r="C155" s="195"/>
      <c r="D155" s="8" t="s">
        <v>109</v>
      </c>
      <c r="E155" s="22">
        <v>820</v>
      </c>
      <c r="F155" s="23">
        <v>628.30511310434451</v>
      </c>
      <c r="G155" s="23">
        <v>32.123219847685576</v>
      </c>
      <c r="H155" s="94">
        <v>39417</v>
      </c>
      <c r="I155" s="180">
        <v>129</v>
      </c>
      <c r="J155" s="181">
        <v>121.99568151699506</v>
      </c>
      <c r="K155" s="181">
        <v>7.1725509965252154</v>
      </c>
      <c r="L155" s="182">
        <v>1465</v>
      </c>
      <c r="M155" s="19">
        <f>Tabelle2[[#This Row],[BEV BE 23]]+Tabelle2[[#This Row],[BEV NZL]]</f>
        <v>949</v>
      </c>
      <c r="N155" s="14">
        <f>Tabelle2[[#This Row],[Benzin-PHEV (HR)]]+Tabelle2[[#This Row],[Benzin-PHEV]]</f>
        <v>750.30079462133961</v>
      </c>
      <c r="O155" s="14">
        <f>Tabelle2[[#This Row],[Diesel-PHEV (HR)]]+Tabelle2[[#This Row],[Diesel-PHEV]]</f>
        <v>39.295770844210793</v>
      </c>
      <c r="P155" s="99">
        <f>Tabelle2[[#This Row],[BE 23 GES]]+Tabelle2[[#This Row],[NZL GESAMT]]</f>
        <v>40882</v>
      </c>
    </row>
    <row r="156" spans="1:16" x14ac:dyDescent="0.3">
      <c r="A156" s="13" t="s">
        <v>101</v>
      </c>
      <c r="B156" s="38">
        <f>Tabelle2[[#This Row],[BEV BE 06/24]]/Tabelle2[[#This Row],[BE 06/24]]</f>
        <v>2.3117201426024955E-2</v>
      </c>
      <c r="C156" s="195"/>
      <c r="D156" s="8" t="s">
        <v>109</v>
      </c>
      <c r="E156" s="22">
        <v>383</v>
      </c>
      <c r="F156" s="23">
        <v>247.82082388878371</v>
      </c>
      <c r="G156" s="23">
        <v>12.505986352915759</v>
      </c>
      <c r="H156" s="94">
        <v>17722</v>
      </c>
      <c r="I156" s="180">
        <v>32</v>
      </c>
      <c r="J156" s="181">
        <v>24.344429719759106</v>
      </c>
      <c r="K156" s="181">
        <v>0.8582539653961796</v>
      </c>
      <c r="L156" s="182">
        <v>230</v>
      </c>
      <c r="M156" s="19">
        <f>Tabelle2[[#This Row],[BEV BE 23]]+Tabelle2[[#This Row],[BEV NZL]]</f>
        <v>415</v>
      </c>
      <c r="N156" s="14">
        <f>Tabelle2[[#This Row],[Benzin-PHEV (HR)]]+Tabelle2[[#This Row],[Benzin-PHEV]]</f>
        <v>272.1652536085428</v>
      </c>
      <c r="O156" s="14">
        <f>Tabelle2[[#This Row],[Diesel-PHEV (HR)]]+Tabelle2[[#This Row],[Diesel-PHEV]]</f>
        <v>13.364240318311939</v>
      </c>
      <c r="P156" s="99">
        <f>Tabelle2[[#This Row],[BE 23 GES]]+Tabelle2[[#This Row],[NZL GESAMT]]</f>
        <v>17952</v>
      </c>
    </row>
    <row r="157" spans="1:16" ht="15" thickBot="1" x14ac:dyDescent="0.35">
      <c r="A157" s="29" t="s">
        <v>105</v>
      </c>
      <c r="B157" s="38">
        <f>Tabelle2[[#This Row],[BEV BE 06/24]]/Tabelle2[[#This Row],[BE 06/24]]</f>
        <v>5.254830113257828E-2</v>
      </c>
      <c r="C157" s="195"/>
      <c r="D157" s="8" t="s">
        <v>109</v>
      </c>
      <c r="E157" s="22">
        <v>573</v>
      </c>
      <c r="F157" s="23">
        <v>187.37004896668526</v>
      </c>
      <c r="G157" s="23">
        <v>14.896836685090831</v>
      </c>
      <c r="H157" s="94">
        <v>11622</v>
      </c>
      <c r="I157" s="180">
        <v>58</v>
      </c>
      <c r="J157" s="181">
        <v>45.679997339323265</v>
      </c>
      <c r="K157" s="181">
        <v>1.4712925121077365</v>
      </c>
      <c r="L157" s="182">
        <v>386</v>
      </c>
      <c r="M157" s="19">
        <f>Tabelle2[[#This Row],[BEV BE 23]]+Tabelle2[[#This Row],[BEV NZL]]</f>
        <v>631</v>
      </c>
      <c r="N157" s="14">
        <f>Tabelle2[[#This Row],[Benzin-PHEV (HR)]]+Tabelle2[[#This Row],[Benzin-PHEV]]</f>
        <v>233.05004630600854</v>
      </c>
      <c r="O157" s="14">
        <f>Tabelle2[[#This Row],[Diesel-PHEV (HR)]]+Tabelle2[[#This Row],[Diesel-PHEV]]</f>
        <v>16.368129197198567</v>
      </c>
      <c r="P157" s="99">
        <f>Tabelle2[[#This Row],[BE 23 GES]]+Tabelle2[[#This Row],[NZL GESAMT]]</f>
        <v>12008</v>
      </c>
    </row>
    <row r="158" spans="1:16" ht="15" thickBot="1" x14ac:dyDescent="0.35">
      <c r="A158" s="24" t="s">
        <v>172</v>
      </c>
      <c r="B158" s="196">
        <f>Tabelle2[[#This Row],[BEV BE 06/24]]/Tabelle2[[#This Row],[BE 06/24]]</f>
        <v>4.3418700813658798E-2</v>
      </c>
      <c r="C158" s="31"/>
      <c r="D158" s="25"/>
      <c r="E158" s="21">
        <f>SUM(E135:E157)</f>
        <v>27282</v>
      </c>
      <c r="F158" s="15">
        <f t="shared" ref="F158:H158" si="6">SUM(F135:F157)</f>
        <v>11010.794089204308</v>
      </c>
      <c r="G158" s="15">
        <f t="shared" si="6"/>
        <v>712.65731055218475</v>
      </c>
      <c r="H158" s="16">
        <f t="shared" si="6"/>
        <v>721792</v>
      </c>
      <c r="I158" s="28">
        <f>SUM(I135:I157)</f>
        <v>5269</v>
      </c>
      <c r="J158" s="26">
        <f t="shared" ref="J158:K158" si="7">SUM(J135:J157)</f>
        <v>2094.7150875720813</v>
      </c>
      <c r="K158" s="26">
        <f t="shared" si="7"/>
        <v>118.86817420737084</v>
      </c>
      <c r="L158" s="27">
        <f>SUM(L135:L157)</f>
        <v>27908</v>
      </c>
      <c r="M158" s="28">
        <f>Tabelle2[[#This Row],[BEV BE 23]]+Tabelle2[[#This Row],[BEV NZL]]</f>
        <v>32551</v>
      </c>
      <c r="N158" s="26">
        <f>Tabelle2[[#This Row],[Benzin-PHEV (HR)]]+Tabelle2[[#This Row],[Benzin-PHEV]]</f>
        <v>13105.50917677639</v>
      </c>
      <c r="O158" s="26">
        <f>Tabelle2[[#This Row],[Diesel-PHEV (HR)]]+Tabelle2[[#This Row],[Diesel-PHEV]]</f>
        <v>831.52548475955564</v>
      </c>
      <c r="P158" s="27">
        <f>Tabelle2[[#This Row],[BE 23 GES]]+Tabelle2[[#This Row],[NZL GESAMT]]</f>
        <v>749700</v>
      </c>
    </row>
    <row r="159" spans="1:16" x14ac:dyDescent="0.3">
      <c r="A159" s="8"/>
      <c r="B159" s="8"/>
      <c r="C159" s="8"/>
      <c r="D159" s="8"/>
      <c r="E159" s="14"/>
      <c r="F159" s="14"/>
      <c r="G159" s="14"/>
      <c r="H159" s="14"/>
      <c r="I159" s="14"/>
      <c r="J159" s="14"/>
      <c r="K159" s="8"/>
      <c r="L159" s="9"/>
      <c r="M159" s="9"/>
      <c r="N159" s="9"/>
      <c r="O159" s="9"/>
      <c r="P159" s="9"/>
    </row>
    <row r="160" spans="1:16" ht="16.2" thickBot="1" x14ac:dyDescent="0.35">
      <c r="A160" s="186" t="s">
        <v>189</v>
      </c>
      <c r="B160" s="8"/>
      <c r="C160" s="8"/>
      <c r="D160" s="8"/>
      <c r="E160" s="14"/>
      <c r="F160" s="14"/>
      <c r="G160" s="14"/>
      <c r="H160" s="14"/>
      <c r="I160" s="14"/>
      <c r="J160" s="14"/>
      <c r="K160" s="8"/>
      <c r="L160" s="9"/>
      <c r="M160" s="9"/>
      <c r="N160" s="9"/>
      <c r="O160" s="9"/>
      <c r="P160" s="9"/>
    </row>
    <row r="161" spans="1:16" x14ac:dyDescent="0.3">
      <c r="B161" s="201" t="s">
        <v>237</v>
      </c>
      <c r="C161" s="202"/>
      <c r="D161" s="8"/>
      <c r="E161" s="201" t="s">
        <v>126</v>
      </c>
      <c r="F161" s="206"/>
      <c r="G161" s="206"/>
      <c r="H161" s="206"/>
      <c r="I161" s="201" t="s">
        <v>238</v>
      </c>
      <c r="J161" s="206"/>
      <c r="K161" s="206"/>
      <c r="L161" s="202"/>
      <c r="M161" s="201" t="s">
        <v>239</v>
      </c>
      <c r="N161" s="206"/>
      <c r="O161" s="206"/>
      <c r="P161" s="202"/>
    </row>
    <row r="162" spans="1:16" ht="30.6" x14ac:dyDescent="0.3">
      <c r="A162" s="194" t="s">
        <v>188</v>
      </c>
      <c r="B162" s="192" t="s">
        <v>152</v>
      </c>
      <c r="C162" s="193" t="s">
        <v>168</v>
      </c>
      <c r="D162" s="191" t="s">
        <v>167</v>
      </c>
      <c r="E162" s="187" t="s">
        <v>181</v>
      </c>
      <c r="F162" s="188" t="s">
        <v>236</v>
      </c>
      <c r="G162" s="188" t="s">
        <v>125</v>
      </c>
      <c r="H162" s="190" t="s">
        <v>180</v>
      </c>
      <c r="I162" s="187" t="s">
        <v>178</v>
      </c>
      <c r="J162" s="188" t="s">
        <v>129</v>
      </c>
      <c r="K162" s="188" t="s">
        <v>130</v>
      </c>
      <c r="L162" s="189" t="s">
        <v>179</v>
      </c>
      <c r="M162" s="187" t="s">
        <v>182</v>
      </c>
      <c r="N162" s="188" t="s">
        <v>183</v>
      </c>
      <c r="O162" s="188" t="s">
        <v>184</v>
      </c>
      <c r="P162" s="189" t="s">
        <v>185</v>
      </c>
    </row>
    <row r="163" spans="1:16" x14ac:dyDescent="0.3">
      <c r="A163" s="8" t="s">
        <v>6</v>
      </c>
      <c r="B163" s="197">
        <f>Tabelle5[[#This Row],[BEV BE 06/24]]/Tabelle5[[#This Row],[BE 06/24]]</f>
        <v>2.5475408652978745E-2</v>
      </c>
      <c r="C163" s="198"/>
      <c r="D163" s="8" t="s">
        <v>115</v>
      </c>
      <c r="E163" s="22">
        <v>1217</v>
      </c>
      <c r="F163" s="23">
        <v>602.04595295718866</v>
      </c>
      <c r="G163" s="23">
        <v>32.981473813081756</v>
      </c>
      <c r="H163" s="94">
        <v>54333</v>
      </c>
      <c r="I163" s="180">
        <v>195</v>
      </c>
      <c r="J163" s="181">
        <v>78.503947523268124</v>
      </c>
      <c r="K163" s="181">
        <v>2.8199773148731615</v>
      </c>
      <c r="L163" s="182">
        <v>1093</v>
      </c>
      <c r="M163" s="19">
        <f>Tabelle5[[#This Row],[BEV BE 23]]+Tabelle5[[#This Row],[BEV NZL]]</f>
        <v>1412</v>
      </c>
      <c r="N163" s="14">
        <f>Tabelle5[[#This Row],[Benzin-PHEV (HR)]]+Tabelle5[[#This Row],[Benzin-PHEV]]</f>
        <v>680.54990048045681</v>
      </c>
      <c r="O163" s="14">
        <f>Tabelle5[[#This Row],[Diesel-PHEV (HR)]]+Tabelle5[[#This Row],[Diesel-PHEV]]</f>
        <v>35.80145112795492</v>
      </c>
      <c r="P163" s="99">
        <f>Tabelle5[[#This Row],[BE 23 GES]]+Tabelle5[[#This Row],[NZL GESAMT]]</f>
        <v>55426</v>
      </c>
    </row>
    <row r="164" spans="1:16" x14ac:dyDescent="0.3">
      <c r="A164" s="8" t="s">
        <v>84</v>
      </c>
      <c r="B164" s="197">
        <f>Tabelle5[[#This Row],[BEV BE 06/24]]/Tabelle5[[#This Row],[BE 06/24]]</f>
        <v>3.2323232323232323E-2</v>
      </c>
      <c r="C164" s="198"/>
      <c r="D164" s="8" t="s">
        <v>115</v>
      </c>
      <c r="E164" s="22">
        <v>358</v>
      </c>
      <c r="F164" s="23">
        <v>198.31136569466688</v>
      </c>
      <c r="G164" s="23">
        <v>13.302936463640783</v>
      </c>
      <c r="H164" s="94">
        <v>13234</v>
      </c>
      <c r="I164" s="180">
        <v>90</v>
      </c>
      <c r="J164" s="181">
        <v>28.447423492752215</v>
      </c>
      <c r="K164" s="181">
        <v>2.0230272041481374</v>
      </c>
      <c r="L164" s="182">
        <v>626</v>
      </c>
      <c r="M164" s="19">
        <f>Tabelle5[[#This Row],[BEV BE 23]]+Tabelle5[[#This Row],[BEV NZL]]</f>
        <v>448</v>
      </c>
      <c r="N164" s="14">
        <f>Tabelle5[[#This Row],[Benzin-PHEV (HR)]]+Tabelle5[[#This Row],[Benzin-PHEV]]</f>
        <v>226.7587891874191</v>
      </c>
      <c r="O164" s="14">
        <f>Tabelle5[[#This Row],[Diesel-PHEV (HR)]]+Tabelle5[[#This Row],[Diesel-PHEV]]</f>
        <v>15.325963667788921</v>
      </c>
      <c r="P164" s="99">
        <f>Tabelle5[[#This Row],[BE 23 GES]]+Tabelle5[[#This Row],[NZL GESAMT]]</f>
        <v>13860</v>
      </c>
    </row>
    <row r="165" spans="1:16" x14ac:dyDescent="0.3">
      <c r="A165" s="8" t="s">
        <v>56</v>
      </c>
      <c r="B165" s="197">
        <f>Tabelle5[[#This Row],[BEV BE 06/24]]/Tabelle5[[#This Row],[BE 06/24]]</f>
        <v>1.672989777637264E-2</v>
      </c>
      <c r="C165" s="198"/>
      <c r="D165" s="8" t="s">
        <v>120</v>
      </c>
      <c r="E165" s="22">
        <v>535</v>
      </c>
      <c r="F165" s="23">
        <v>436.28500452826711</v>
      </c>
      <c r="G165" s="23">
        <v>23.724591757737251</v>
      </c>
      <c r="H165" s="94">
        <v>35665</v>
      </c>
      <c r="I165" s="180">
        <v>100</v>
      </c>
      <c r="J165" s="181">
        <v>202.96142530405905</v>
      </c>
      <c r="K165" s="181">
        <v>9.3794897646868201</v>
      </c>
      <c r="L165" s="182">
        <v>2291</v>
      </c>
      <c r="M165" s="19">
        <f>Tabelle5[[#This Row],[BEV BE 23]]+Tabelle5[[#This Row],[BEV NZL]]</f>
        <v>635</v>
      </c>
      <c r="N165" s="14">
        <f>Tabelle5[[#This Row],[Benzin-PHEV (HR)]]+Tabelle5[[#This Row],[Benzin-PHEV]]</f>
        <v>639.24642983232616</v>
      </c>
      <c r="O165" s="14">
        <f>Tabelle5[[#This Row],[Diesel-PHEV (HR)]]+Tabelle5[[#This Row],[Diesel-PHEV]]</f>
        <v>33.104081522424067</v>
      </c>
      <c r="P165" s="99">
        <f>Tabelle5[[#This Row],[BE 23 GES]]+Tabelle5[[#This Row],[NZL GESAMT]]</f>
        <v>37956</v>
      </c>
    </row>
    <row r="166" spans="1:16" x14ac:dyDescent="0.3">
      <c r="A166" s="8" t="s">
        <v>14</v>
      </c>
      <c r="B166" s="197">
        <f>Tabelle5[[#This Row],[BEV BE 06/24]]/Tabelle5[[#This Row],[BE 06/24]]</f>
        <v>3.2518709848334326E-2</v>
      </c>
      <c r="C166" s="198"/>
      <c r="D166" s="8" t="s">
        <v>120</v>
      </c>
      <c r="E166" s="22">
        <v>462</v>
      </c>
      <c r="F166" s="23">
        <v>173.41987013850868</v>
      </c>
      <c r="G166" s="23">
        <v>9.5020974740291315</v>
      </c>
      <c r="H166" s="94">
        <v>14821</v>
      </c>
      <c r="I166" s="180">
        <v>29</v>
      </c>
      <c r="J166" s="181">
        <v>26.532693065355428</v>
      </c>
      <c r="K166" s="181">
        <v>0.61303854671155689</v>
      </c>
      <c r="L166" s="182">
        <v>278</v>
      </c>
      <c r="M166" s="19">
        <f>Tabelle5[[#This Row],[BEV BE 23]]+Tabelle5[[#This Row],[BEV NZL]]</f>
        <v>491</v>
      </c>
      <c r="N166" s="14">
        <f>Tabelle5[[#This Row],[Benzin-PHEV (HR)]]+Tabelle5[[#This Row],[Benzin-PHEV]]</f>
        <v>199.95256320386412</v>
      </c>
      <c r="O166" s="14">
        <f>Tabelle5[[#This Row],[Diesel-PHEV (HR)]]+Tabelle5[[#This Row],[Diesel-PHEV]]</f>
        <v>10.115136020740689</v>
      </c>
      <c r="P166" s="99">
        <f>Tabelle5[[#This Row],[BE 23 GES]]+Tabelle5[[#This Row],[NZL GESAMT]]</f>
        <v>15099</v>
      </c>
    </row>
    <row r="167" spans="1:16" x14ac:dyDescent="0.3">
      <c r="A167" s="8" t="s">
        <v>94</v>
      </c>
      <c r="B167" s="197">
        <f>Tabelle5[[#This Row],[BEV BE 06/24]]/Tabelle5[[#This Row],[BE 06/24]]</f>
        <v>3.019754902840328E-2</v>
      </c>
      <c r="C167" s="198"/>
      <c r="D167" s="8" t="s">
        <v>115</v>
      </c>
      <c r="E167" s="22">
        <v>1454</v>
      </c>
      <c r="F167" s="23">
        <v>544.05697429888608</v>
      </c>
      <c r="G167" s="23">
        <v>26.299353653925788</v>
      </c>
      <c r="H167" s="94">
        <v>54352</v>
      </c>
      <c r="I167" s="180">
        <v>229</v>
      </c>
      <c r="J167" s="181">
        <v>77.136282932270419</v>
      </c>
      <c r="K167" s="181">
        <v>2.6360657508596943</v>
      </c>
      <c r="L167" s="182">
        <v>1381</v>
      </c>
      <c r="M167" s="19">
        <f>Tabelle5[[#This Row],[BEV BE 23]]+Tabelle5[[#This Row],[BEV NZL]]</f>
        <v>1683</v>
      </c>
      <c r="N167" s="14">
        <f>Tabelle5[[#This Row],[Benzin-PHEV (HR)]]+Tabelle5[[#This Row],[Benzin-PHEV]]</f>
        <v>621.19325723115651</v>
      </c>
      <c r="O167" s="14">
        <f>Tabelle5[[#This Row],[Diesel-PHEV (HR)]]+Tabelle5[[#This Row],[Diesel-PHEV]]</f>
        <v>28.935419404785481</v>
      </c>
      <c r="P167" s="99">
        <f>Tabelle5[[#This Row],[BE 23 GES]]+Tabelle5[[#This Row],[NZL GESAMT]]</f>
        <v>55733</v>
      </c>
    </row>
    <row r="168" spans="1:16" x14ac:dyDescent="0.3">
      <c r="A168" s="8" t="s">
        <v>44</v>
      </c>
      <c r="B168" s="197">
        <f>Tabelle5[[#This Row],[BEV BE 06/24]]/Tabelle5[[#This Row],[BE 06/24]]</f>
        <v>3.2693538067818301E-2</v>
      </c>
      <c r="C168" s="198"/>
      <c r="D168" s="8" t="s">
        <v>115</v>
      </c>
      <c r="E168" s="22">
        <v>482</v>
      </c>
      <c r="F168" s="23">
        <v>240.70896801559564</v>
      </c>
      <c r="G168" s="23">
        <v>9.2568820553445086</v>
      </c>
      <c r="H168" s="94">
        <v>15368</v>
      </c>
      <c r="I168" s="180">
        <v>29</v>
      </c>
      <c r="J168" s="181">
        <v>29.815088083749917</v>
      </c>
      <c r="K168" s="181">
        <v>0.67434240138271251</v>
      </c>
      <c r="L168" s="182">
        <v>262</v>
      </c>
      <c r="M168" s="19">
        <f>Tabelle5[[#This Row],[BEV BE 23]]+Tabelle5[[#This Row],[BEV NZL]]</f>
        <v>511</v>
      </c>
      <c r="N168" s="14">
        <f>Tabelle5[[#This Row],[Benzin-PHEV (HR)]]+Tabelle5[[#This Row],[Benzin-PHEV]]</f>
        <v>270.52405609934556</v>
      </c>
      <c r="O168" s="14">
        <f>Tabelle5[[#This Row],[Diesel-PHEV (HR)]]+Tabelle5[[#This Row],[Diesel-PHEV]]</f>
        <v>9.9312244567272216</v>
      </c>
      <c r="P168" s="99">
        <f>Tabelle5[[#This Row],[BE 23 GES]]+Tabelle5[[#This Row],[NZL GESAMT]]</f>
        <v>15630</v>
      </c>
    </row>
    <row r="169" spans="1:16" x14ac:dyDescent="0.3">
      <c r="A169" s="8" t="s">
        <v>51</v>
      </c>
      <c r="B169" s="197">
        <f>Tabelle5[[#This Row],[BEV BE 06/24]]/Tabelle5[[#This Row],[BE 06/24]]</f>
        <v>1.7496835678653861E-2</v>
      </c>
      <c r="C169" s="198"/>
      <c r="D169" s="8" t="s">
        <v>120</v>
      </c>
      <c r="E169" s="22">
        <v>199</v>
      </c>
      <c r="F169" s="23">
        <v>149.89603917334819</v>
      </c>
      <c r="G169" s="23">
        <v>9.9312244567272216</v>
      </c>
      <c r="H169" s="94">
        <v>13096</v>
      </c>
      <c r="I169" s="180">
        <v>36</v>
      </c>
      <c r="J169" s="181">
        <v>27.900357656353133</v>
      </c>
      <c r="K169" s="181">
        <v>0.61303854671155689</v>
      </c>
      <c r="L169" s="182">
        <v>335</v>
      </c>
      <c r="M169" s="19">
        <f>Tabelle5[[#This Row],[BEV BE 23]]+Tabelle5[[#This Row],[BEV NZL]]</f>
        <v>235</v>
      </c>
      <c r="N169" s="14">
        <f>Tabelle5[[#This Row],[Benzin-PHEV (HR)]]+Tabelle5[[#This Row],[Benzin-PHEV]]</f>
        <v>177.79639682970131</v>
      </c>
      <c r="O169" s="14">
        <f>Tabelle5[[#This Row],[Diesel-PHEV (HR)]]+Tabelle5[[#This Row],[Diesel-PHEV]]</f>
        <v>10.544263003438779</v>
      </c>
      <c r="P169" s="99">
        <f>Tabelle5[[#This Row],[BE 23 GES]]+Tabelle5[[#This Row],[NZL GESAMT]]</f>
        <v>13431</v>
      </c>
    </row>
    <row r="170" spans="1:16" ht="15" thickBot="1" x14ac:dyDescent="0.35">
      <c r="A170" s="95" t="s">
        <v>52</v>
      </c>
      <c r="B170" s="199">
        <f>Tabelle5[[#This Row],[BEV BE 06/24]]/Tabelle5[[#This Row],[BE 06/24]]</f>
        <v>1.6384253869702065E-2</v>
      </c>
      <c r="C170" s="200"/>
      <c r="D170" s="8" t="s">
        <v>120</v>
      </c>
      <c r="E170" s="96">
        <v>341</v>
      </c>
      <c r="F170" s="97">
        <v>203.78202405865767</v>
      </c>
      <c r="G170" s="97">
        <v>18.268548692004394</v>
      </c>
      <c r="H170" s="98">
        <v>22420</v>
      </c>
      <c r="I170" s="183">
        <v>39</v>
      </c>
      <c r="J170" s="184">
        <v>27.353291819954052</v>
      </c>
      <c r="K170" s="184">
        <v>3.8008389896116523</v>
      </c>
      <c r="L170" s="185">
        <v>773</v>
      </c>
      <c r="M170" s="100">
        <f>Tabelle5[[#This Row],[BEV BE 23]]+Tabelle5[[#This Row],[BEV NZL]]</f>
        <v>380</v>
      </c>
      <c r="N170" s="101">
        <f>Tabelle5[[#This Row],[Benzin-PHEV (HR)]]+Tabelle5[[#This Row],[Benzin-PHEV]]</f>
        <v>231.13531587861172</v>
      </c>
      <c r="O170" s="101">
        <f>Tabelle5[[#This Row],[Diesel-PHEV (HR)]]+Tabelle5[[#This Row],[Diesel-PHEV]]</f>
        <v>22.069387681616046</v>
      </c>
      <c r="P170" s="102">
        <f>Tabelle5[[#This Row],[BE 23 GES]]+Tabelle5[[#This Row],[NZL GESAMT]]</f>
        <v>23193</v>
      </c>
    </row>
    <row r="171" spans="1:16" x14ac:dyDescent="0.3">
      <c r="K171" s="8"/>
      <c r="L171" s="8"/>
      <c r="M171" s="8"/>
      <c r="N171" s="8"/>
      <c r="O171" s="8"/>
      <c r="P171" s="8"/>
    </row>
    <row r="172" spans="1:16" x14ac:dyDescent="0.3">
      <c r="K172" s="8"/>
      <c r="L172" s="8"/>
      <c r="M172" s="8"/>
      <c r="N172" s="8"/>
      <c r="O172" s="8"/>
      <c r="P172" s="8"/>
    </row>
  </sheetData>
  <mergeCells count="16">
    <mergeCell ref="B133:C133"/>
    <mergeCell ref="B161:C161"/>
    <mergeCell ref="E133:H133"/>
    <mergeCell ref="I133:L133"/>
    <mergeCell ref="M133:P133"/>
    <mergeCell ref="E161:H161"/>
    <mergeCell ref="I161:L161"/>
    <mergeCell ref="M161:P161"/>
    <mergeCell ref="B26:C26"/>
    <mergeCell ref="E26:H26"/>
    <mergeCell ref="I26:L26"/>
    <mergeCell ref="M26:P26"/>
    <mergeCell ref="E125:H125"/>
    <mergeCell ref="I125:L125"/>
    <mergeCell ref="M125:P125"/>
    <mergeCell ref="B125:C125"/>
  </mergeCells>
  <phoneticPr fontId="5" type="noConversion"/>
  <pageMargins left="0.7" right="0.7" top="0.78740157499999996" bottom="0.78740157499999996" header="0.3" footer="0.3"/>
  <pageSetup paperSize="9" orientation="portrait" horizontalDpi="1200" verticalDpi="1200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7040-4245-47AD-98A5-F1BAF0DC4B73}">
  <sheetPr>
    <tabColor rgb="FFC89800"/>
  </sheetPr>
  <dimension ref="A1:M33"/>
  <sheetViews>
    <sheetView tabSelected="1" topLeftCell="A4" workbookViewId="0">
      <selection activeCell="L9" sqref="L9"/>
    </sheetView>
  </sheetViews>
  <sheetFormatPr baseColWidth="10" defaultRowHeight="14.4" x14ac:dyDescent="0.3"/>
  <cols>
    <col min="1" max="1" width="46.6640625" customWidth="1"/>
  </cols>
  <sheetData>
    <row r="1" spans="1:13" ht="23.4" x14ac:dyDescent="0.45">
      <c r="A1" s="45" t="s">
        <v>230</v>
      </c>
    </row>
    <row r="2" spans="1:13" ht="18" x14ac:dyDescent="0.35">
      <c r="A2" s="44" t="s">
        <v>232</v>
      </c>
    </row>
    <row r="3" spans="1:13" x14ac:dyDescent="0.3">
      <c r="A3" s="2"/>
    </row>
    <row r="4" spans="1:13" x14ac:dyDescent="0.3">
      <c r="A4" s="32" t="s">
        <v>202</v>
      </c>
      <c r="G4" s="32"/>
    </row>
    <row r="5" spans="1:13" x14ac:dyDescent="0.3">
      <c r="A5" s="32" t="s">
        <v>201</v>
      </c>
      <c r="G5" s="32"/>
    </row>
    <row r="6" spans="1:13" x14ac:dyDescent="0.3">
      <c r="A6" s="2"/>
    </row>
    <row r="7" spans="1:13" x14ac:dyDescent="0.3">
      <c r="A7" s="35" t="s">
        <v>225</v>
      </c>
    </row>
    <row r="8" spans="1:13" x14ac:dyDescent="0.3">
      <c r="A8" s="8" t="s">
        <v>226</v>
      </c>
      <c r="B8" s="8"/>
    </row>
    <row r="9" spans="1:13" x14ac:dyDescent="0.3">
      <c r="A9" s="8" t="s">
        <v>227</v>
      </c>
      <c r="B9" s="8"/>
    </row>
    <row r="10" spans="1:13" ht="15" thickBot="1" x14ac:dyDescent="0.35">
      <c r="A10" s="8"/>
    </row>
    <row r="11" spans="1:13" ht="14.4" customHeight="1" x14ac:dyDescent="0.3">
      <c r="A11" s="8"/>
      <c r="B11" s="219" t="s">
        <v>127</v>
      </c>
      <c r="C11" s="220"/>
      <c r="D11" s="221" t="s">
        <v>128</v>
      </c>
      <c r="E11" s="220"/>
      <c r="F11" s="221" t="s">
        <v>110</v>
      </c>
      <c r="G11" s="222"/>
      <c r="H11" s="219" t="s">
        <v>111</v>
      </c>
      <c r="I11" s="223"/>
      <c r="J11" s="216" t="s">
        <v>233</v>
      </c>
      <c r="K11" s="217"/>
      <c r="L11" s="218"/>
      <c r="M11" s="8"/>
    </row>
    <row r="12" spans="1:13" ht="15" thickBot="1" x14ac:dyDescent="0.35">
      <c r="A12" s="114" t="s">
        <v>228</v>
      </c>
      <c r="B12" s="139" t="s">
        <v>129</v>
      </c>
      <c r="C12" s="159" t="s">
        <v>130</v>
      </c>
      <c r="D12" s="143" t="s">
        <v>129</v>
      </c>
      <c r="E12" s="159" t="s">
        <v>130</v>
      </c>
      <c r="F12" s="143" t="s">
        <v>129</v>
      </c>
      <c r="G12" s="163" t="s">
        <v>130</v>
      </c>
      <c r="H12" s="148" t="s">
        <v>129</v>
      </c>
      <c r="I12" s="167" t="s">
        <v>130</v>
      </c>
      <c r="J12" s="107" t="s">
        <v>136</v>
      </c>
      <c r="K12" s="152" t="s">
        <v>129</v>
      </c>
      <c r="L12" s="169" t="s">
        <v>130</v>
      </c>
      <c r="M12" s="8"/>
    </row>
    <row r="13" spans="1:13" x14ac:dyDescent="0.3">
      <c r="A13" s="113" t="s">
        <v>234</v>
      </c>
      <c r="B13" s="140">
        <v>0</v>
      </c>
      <c r="C13" s="160">
        <v>0</v>
      </c>
      <c r="D13" s="144">
        <v>0</v>
      </c>
      <c r="E13" s="160">
        <v>0</v>
      </c>
      <c r="F13" s="147">
        <v>61166</v>
      </c>
      <c r="G13" s="164">
        <v>4393</v>
      </c>
      <c r="H13" s="149">
        <f>H14+SUM(H14-H16)/2</f>
        <v>0.56439264162204317</v>
      </c>
      <c r="I13" s="168">
        <f>I14+SUM(I14-I16)/2</f>
        <v>0.42586331786062742</v>
      </c>
      <c r="J13" s="108">
        <v>1.255916171872336E-2</v>
      </c>
      <c r="K13" s="153">
        <v>1.1717593094577908E-2</v>
      </c>
      <c r="L13" s="170">
        <v>8.4156862414545245E-4</v>
      </c>
      <c r="M13" s="8"/>
    </row>
    <row r="14" spans="1:13" x14ac:dyDescent="0.3">
      <c r="A14" s="111">
        <v>2023</v>
      </c>
      <c r="B14" s="141">
        <v>24749</v>
      </c>
      <c r="C14" s="161">
        <v>2006</v>
      </c>
      <c r="D14" s="145">
        <v>28710</v>
      </c>
      <c r="E14" s="161">
        <v>1399</v>
      </c>
      <c r="F14" s="145">
        <f t="shared" ref="F14:G16" si="0">B14+D14</f>
        <v>53459</v>
      </c>
      <c r="G14" s="165">
        <f t="shared" si="0"/>
        <v>3405</v>
      </c>
      <c r="H14" s="150">
        <f t="shared" ref="H14:I17" si="1">D14/F14</f>
        <v>0.53704708281112623</v>
      </c>
      <c r="I14" s="121">
        <f t="shared" si="1"/>
        <v>0.41086637298091044</v>
      </c>
      <c r="J14" s="109">
        <v>1.0967007559875534E-2</v>
      </c>
      <c r="K14" s="126">
        <v>1.0310306294727527E-2</v>
      </c>
      <c r="L14" s="119">
        <v>6.5670126514800564E-4</v>
      </c>
      <c r="M14" s="8"/>
    </row>
    <row r="15" spans="1:13" x14ac:dyDescent="0.3">
      <c r="A15" s="111">
        <v>2022</v>
      </c>
      <c r="B15" s="141">
        <v>18916</v>
      </c>
      <c r="C15" s="161">
        <v>1614</v>
      </c>
      <c r="D15" s="145">
        <v>20007</v>
      </c>
      <c r="E15" s="161">
        <v>1043</v>
      </c>
      <c r="F15" s="145">
        <f t="shared" si="0"/>
        <v>38923</v>
      </c>
      <c r="G15" s="165">
        <f>C15+E15</f>
        <v>2657</v>
      </c>
      <c r="H15" s="150">
        <f t="shared" si="1"/>
        <v>0.51401484983171908</v>
      </c>
      <c r="I15" s="121">
        <f t="shared" si="1"/>
        <v>0.39254798645088446</v>
      </c>
      <c r="J15" s="109">
        <v>8.0723913731413407E-3</v>
      </c>
      <c r="K15" s="126">
        <v>7.5565581870317561E-3</v>
      </c>
      <c r="L15" s="119">
        <v>5.1583318610958493E-4</v>
      </c>
      <c r="M15" s="8"/>
    </row>
    <row r="16" spans="1:13" x14ac:dyDescent="0.3">
      <c r="A16" s="111">
        <v>2021</v>
      </c>
      <c r="B16" s="141">
        <v>14097</v>
      </c>
      <c r="C16" s="161">
        <v>1107</v>
      </c>
      <c r="D16" s="145">
        <v>13136</v>
      </c>
      <c r="E16" s="161">
        <v>681</v>
      </c>
      <c r="F16" s="145">
        <f t="shared" si="0"/>
        <v>27233</v>
      </c>
      <c r="G16" s="165">
        <f t="shared" si="0"/>
        <v>1788</v>
      </c>
      <c r="H16" s="150">
        <f t="shared" si="1"/>
        <v>0.48235596518929241</v>
      </c>
      <c r="I16" s="121">
        <f t="shared" si="1"/>
        <v>0.38087248322147649</v>
      </c>
      <c r="J16" s="109">
        <v>5.6528880159007807E-3</v>
      </c>
      <c r="K16" s="126">
        <v>5.3046104316538355E-3</v>
      </c>
      <c r="L16" s="119">
        <v>3.4827758424694518E-4</v>
      </c>
      <c r="M16" s="8"/>
    </row>
    <row r="17" spans="1:13" ht="15" thickBot="1" x14ac:dyDescent="0.35">
      <c r="A17" s="112">
        <v>2020</v>
      </c>
      <c r="B17" s="142">
        <v>8372</v>
      </c>
      <c r="C17" s="162">
        <v>487</v>
      </c>
      <c r="D17" s="146">
        <v>6139</v>
      </c>
      <c r="E17" s="162">
        <v>239</v>
      </c>
      <c r="F17" s="146">
        <f t="shared" ref="F17" si="2">B17+D17</f>
        <v>14511</v>
      </c>
      <c r="G17" s="166">
        <f t="shared" ref="G17" si="3">C17+E17</f>
        <v>726</v>
      </c>
      <c r="H17" s="151">
        <f t="shared" si="1"/>
        <v>0.42305836951278342</v>
      </c>
      <c r="I17" s="123">
        <f t="shared" si="1"/>
        <v>0.32920110192837465</v>
      </c>
      <c r="J17" s="110">
        <v>2.9924425947700107E-3</v>
      </c>
      <c r="K17" s="129">
        <v>2.8498611598548025E-3</v>
      </c>
      <c r="L17" s="171">
        <v>1.4258143491520823E-4</v>
      </c>
      <c r="M17" s="8"/>
    </row>
    <row r="18" spans="1:13" ht="15" thickBot="1" x14ac:dyDescent="0.35">
      <c r="A18" s="103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3">
      <c r="A19" s="103"/>
      <c r="B19" s="207" t="s">
        <v>135</v>
      </c>
      <c r="C19" s="208"/>
      <c r="D19" s="208"/>
      <c r="E19" s="209"/>
      <c r="F19" s="207" t="s">
        <v>248</v>
      </c>
      <c r="G19" s="209"/>
      <c r="H19" s="207" t="s">
        <v>249</v>
      </c>
      <c r="I19" s="209"/>
      <c r="J19" s="8"/>
      <c r="K19" s="36"/>
      <c r="L19" s="8"/>
      <c r="M19" s="8"/>
    </row>
    <row r="20" spans="1:13" ht="21" thickBot="1" x14ac:dyDescent="0.35">
      <c r="A20" s="114" t="s">
        <v>228</v>
      </c>
      <c r="B20" s="134" t="s">
        <v>147</v>
      </c>
      <c r="C20" s="124" t="s">
        <v>148</v>
      </c>
      <c r="D20" s="115" t="s">
        <v>149</v>
      </c>
      <c r="E20" s="116" t="s">
        <v>150</v>
      </c>
      <c r="F20" s="134" t="s">
        <v>131</v>
      </c>
      <c r="G20" s="124" t="s">
        <v>132</v>
      </c>
      <c r="H20" s="115" t="s">
        <v>133</v>
      </c>
      <c r="I20" s="116" t="s">
        <v>134</v>
      </c>
      <c r="J20" s="8"/>
      <c r="K20" s="8"/>
      <c r="L20" s="8"/>
      <c r="M20" s="8"/>
    </row>
    <row r="21" spans="1:13" x14ac:dyDescent="0.3">
      <c r="A21" s="131" t="s">
        <v>234</v>
      </c>
      <c r="B21" s="135">
        <f>H13*K13</f>
        <v>6.6133233201010368E-3</v>
      </c>
      <c r="C21" s="125">
        <f>(1-H13)*K13</f>
        <v>5.1042697744768713E-3</v>
      </c>
      <c r="D21" s="117">
        <f>I13*L13</f>
        <v>3.5839320648598568E-4</v>
      </c>
      <c r="E21" s="118">
        <f>(1-I13)*L13</f>
        <v>4.8317541765946671E-4</v>
      </c>
      <c r="F21" s="140">
        <v>0</v>
      </c>
      <c r="G21" s="154">
        <v>0</v>
      </c>
      <c r="H21" s="174">
        <v>0</v>
      </c>
      <c r="I21" s="172">
        <v>0</v>
      </c>
      <c r="J21" s="8"/>
      <c r="K21" s="8"/>
      <c r="L21" s="8"/>
      <c r="M21" s="8"/>
    </row>
    <row r="22" spans="1:13" x14ac:dyDescent="0.3">
      <c r="A22" s="132">
        <v>2023</v>
      </c>
      <c r="B22" s="136">
        <f>H14*K14</f>
        <v>5.5371199184726105E-3</v>
      </c>
      <c r="C22" s="127">
        <f>B14/F14*K14</f>
        <v>4.7731863762549166E-3</v>
      </c>
      <c r="D22" s="137">
        <f>I14*L14</f>
        <v>2.6981646694333624E-4</v>
      </c>
      <c r="E22" s="119">
        <f>C14/G14*L14</f>
        <v>3.868847982046694E-4</v>
      </c>
      <c r="F22" s="155">
        <f>F28*H14</f>
        <v>0.14690005577187765</v>
      </c>
      <c r="G22" s="156">
        <f>F28-F22</f>
        <v>0.12663286242766286</v>
      </c>
      <c r="H22" s="175">
        <f>F29*I14</f>
        <v>2.518769241848658E-2</v>
      </c>
      <c r="I22" s="173">
        <f>F29-H22</f>
        <v>3.6116162252669101E-2</v>
      </c>
      <c r="J22" s="8"/>
      <c r="K22" s="8"/>
      <c r="L22" s="8"/>
      <c r="M22" s="8"/>
    </row>
    <row r="23" spans="1:13" x14ac:dyDescent="0.3">
      <c r="A23" s="132">
        <v>2022</v>
      </c>
      <c r="B23" s="136">
        <f>H15*K15</f>
        <v>3.8841831217517756E-3</v>
      </c>
      <c r="C23" s="128">
        <f>B15/F15*K15</f>
        <v>3.6723750652799809E-3</v>
      </c>
      <c r="D23" s="120">
        <f>I15*L15</f>
        <v>2.0248927855186189E-4</v>
      </c>
      <c r="E23" s="121">
        <f>C15/G15*L15</f>
        <v>3.1334390755772304E-4</v>
      </c>
      <c r="F23" s="136">
        <f>E28*H15</f>
        <v>0.13492352512745812</v>
      </c>
      <c r="G23" s="128">
        <f>E28-F23</f>
        <v>0.12756602195786462</v>
      </c>
      <c r="H23" s="120">
        <f>E29*I15</f>
        <v>2.5192019709192794E-2</v>
      </c>
      <c r="I23" s="121">
        <f>E29-H23</f>
        <v>3.8983623979517892E-2</v>
      </c>
      <c r="J23" s="8"/>
      <c r="K23" s="8"/>
      <c r="L23" s="8"/>
      <c r="M23" s="8"/>
    </row>
    <row r="24" spans="1:13" x14ac:dyDescent="0.3">
      <c r="A24" s="132">
        <v>2021</v>
      </c>
      <c r="B24" s="136">
        <f>H16*K16</f>
        <v>2.5587104847135749E-3</v>
      </c>
      <c r="C24" s="128">
        <f>B16/F16*K16</f>
        <v>2.745899946940261E-3</v>
      </c>
      <c r="D24" s="120">
        <f>I16*L16</f>
        <v>1.3264934836251099E-4</v>
      </c>
      <c r="E24" s="121">
        <f>C16/G16*L16</f>
        <v>2.1562823588443418E-4</v>
      </c>
      <c r="F24" s="136">
        <f>D28*H16</f>
        <v>0.12053809025674907</v>
      </c>
      <c r="G24" s="128">
        <f>D28-F24</f>
        <v>0.12935638385729231</v>
      </c>
      <c r="H24" s="120">
        <f>D29*I16</f>
        <v>2.4324903557651094E-2</v>
      </c>
      <c r="I24" s="121">
        <f>D29-H24</f>
        <v>3.9541363051864557E-2</v>
      </c>
      <c r="J24" s="8"/>
      <c r="K24" s="8"/>
      <c r="L24" s="8"/>
      <c r="M24" s="8"/>
    </row>
    <row r="25" spans="1:13" ht="15" thickBot="1" x14ac:dyDescent="0.35">
      <c r="A25" s="133">
        <v>2020</v>
      </c>
      <c r="B25" s="138">
        <f>H17*K17</f>
        <v>1.2056576156259827E-3</v>
      </c>
      <c r="C25" s="130">
        <f>B17/F17*K17</f>
        <v>1.6442035442288199E-3</v>
      </c>
      <c r="D25" s="122">
        <f>I17*L17</f>
        <v>4.6937965488615382E-5</v>
      </c>
      <c r="E25" s="123">
        <f>C17/G17*L17</f>
        <v>9.5643469426592845E-5</v>
      </c>
      <c r="F25" s="138">
        <f>C28*H17</f>
        <v>8.8992940289636571E-2</v>
      </c>
      <c r="G25" s="130">
        <f>C28-F25</f>
        <v>0.1213632344200745</v>
      </c>
      <c r="H25" s="122">
        <f>C29*I17</f>
        <v>1.6622617888440674E-2</v>
      </c>
      <c r="I25" s="123">
        <f>C29-H25</f>
        <v>3.3871192099040201E-2</v>
      </c>
      <c r="J25" s="8"/>
      <c r="K25" s="8"/>
      <c r="L25" s="8"/>
      <c r="M25" s="8"/>
    </row>
    <row r="26" spans="1:13" ht="15" thickBo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3">
      <c r="A27" s="104" t="s">
        <v>112</v>
      </c>
      <c r="B27" s="105">
        <v>2019</v>
      </c>
      <c r="C27" s="106">
        <v>2020</v>
      </c>
      <c r="D27" s="106">
        <v>2021</v>
      </c>
      <c r="E27" s="106">
        <v>2022</v>
      </c>
      <c r="F27" s="106">
        <v>2023</v>
      </c>
      <c r="G27" s="212" t="s">
        <v>235</v>
      </c>
      <c r="H27" s="213"/>
      <c r="I27" s="8"/>
      <c r="J27" s="8"/>
      <c r="K27" s="8"/>
      <c r="L27" s="8"/>
      <c r="M27" s="8"/>
    </row>
    <row r="28" spans="1:13" x14ac:dyDescent="0.3">
      <c r="A28" s="179" t="s">
        <v>246</v>
      </c>
      <c r="B28" s="157">
        <v>0.16974476941614636</v>
      </c>
      <c r="C28" s="158">
        <v>0.21035617470971107</v>
      </c>
      <c r="D28" s="158">
        <v>0.24989447411404137</v>
      </c>
      <c r="E28" s="158">
        <v>0.26248954708532274</v>
      </c>
      <c r="F28" s="158">
        <v>0.27353291819954051</v>
      </c>
      <c r="G28" s="210">
        <v>0.27325210622778923</v>
      </c>
      <c r="H28" s="211"/>
      <c r="I28" s="8"/>
      <c r="J28" s="8"/>
      <c r="K28" s="8"/>
      <c r="L28" s="8"/>
      <c r="M28" s="8"/>
    </row>
    <row r="29" spans="1:13" ht="15" thickBot="1" x14ac:dyDescent="0.35">
      <c r="A29" s="178" t="s">
        <v>247</v>
      </c>
      <c r="B29" s="176">
        <v>4.7634478289047308E-2</v>
      </c>
      <c r="C29" s="177">
        <v>5.0493809987480875E-2</v>
      </c>
      <c r="D29" s="177">
        <v>6.3866266609515651E-2</v>
      </c>
      <c r="E29" s="177">
        <v>6.417564368871069E-2</v>
      </c>
      <c r="F29" s="177">
        <v>6.1303854671155684E-2</v>
      </c>
      <c r="G29" s="214">
        <v>6.4567511226685928E-2</v>
      </c>
      <c r="H29" s="215"/>
      <c r="I29" s="8"/>
      <c r="J29" s="8"/>
      <c r="K29" s="8"/>
      <c r="L29" s="8"/>
      <c r="M29" s="8"/>
    </row>
    <row r="30" spans="1:13" x14ac:dyDescent="0.3">
      <c r="A30" s="10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3">
      <c r="A31" s="35" t="s">
        <v>250</v>
      </c>
    </row>
    <row r="32" spans="1:13" x14ac:dyDescent="0.3">
      <c r="A32" s="8" t="s">
        <v>251</v>
      </c>
    </row>
    <row r="33" spans="1:1" x14ac:dyDescent="0.3">
      <c r="A33" s="8" t="s">
        <v>252</v>
      </c>
    </row>
  </sheetData>
  <mergeCells count="11">
    <mergeCell ref="B19:E19"/>
    <mergeCell ref="G28:H28"/>
    <mergeCell ref="G27:H27"/>
    <mergeCell ref="G29:H29"/>
    <mergeCell ref="J11:L11"/>
    <mergeCell ref="B11:C11"/>
    <mergeCell ref="D11:E11"/>
    <mergeCell ref="F11:G11"/>
    <mergeCell ref="H11:I11"/>
    <mergeCell ref="F19:G19"/>
    <mergeCell ref="H19:I19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Vollelektrisch voraus_M1</vt:lpstr>
      <vt:lpstr>Vollelektrisch voraus_N1</vt:lpstr>
      <vt:lpstr>Gebraucht ist das neue Neu</vt:lpstr>
      <vt:lpstr>Bezirke im Blick</vt:lpstr>
      <vt:lpstr>Entwicklungen der PHEV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 Gabriel</dc:creator>
  <cp:lastModifiedBy>Schuster Gabriel</cp:lastModifiedBy>
  <dcterms:created xsi:type="dcterms:W3CDTF">2024-09-26T16:32:10Z</dcterms:created>
  <dcterms:modified xsi:type="dcterms:W3CDTF">2025-01-02T14:58:21Z</dcterms:modified>
</cp:coreProperties>
</file>